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2390" windowHeight="5040" activeTab="0"/>
  </bookViews>
  <sheets>
    <sheet name="Tirage initial" sheetId="1" r:id="rId1"/>
    <sheet name="Feuille de personnage" sheetId="2" r:id="rId2"/>
    <sheet name="Achat Compétences" sheetId="3" r:id="rId3"/>
    <sheet name="Feuille de compétences" sheetId="4" r:id="rId4"/>
    <sheet name="Feuille d'équipements" sheetId="5" r:id="rId5"/>
    <sheet name="Feuille de notes" sheetId="6" r:id="rId6"/>
    <sheet name="Données" sheetId="7" r:id="rId7"/>
  </sheets>
  <definedNames>
    <definedName name="ag">'Tirage initial'!$I$17</definedName>
    <definedName name="Atmosphére_planétaire">'Données'!$A$46:$B$55</definedName>
    <definedName name="com">'Tirage initial'!$I$21</definedName>
    <definedName name="con">'Tirage initial'!$I$16</definedName>
    <definedName name="cou">'Tirage initial'!$I$22</definedName>
    <definedName name="de">'Tirage initial'!$I$18</definedName>
    <definedName name="ea">'Tirage initial'!$I$27</definedName>
    <definedName name="For">'Tirage initial'!$I$15</definedName>
    <definedName name="gta">'Tirage initial'!$I$25</definedName>
    <definedName name="int">'Tirage initial'!$I$19</definedName>
    <definedName name="ion">'Tirage initial'!$I$20</definedName>
    <definedName name="ma">'Tirage initial'!$I$26</definedName>
    <definedName name="phy">'Tirage initial'!$I$14</definedName>
    <definedName name="Psi">'Tirage initial'!$I$24</definedName>
    <definedName name="rel">'Tirage initial'!$I$23</definedName>
    <definedName name="Service">'Tirage initial'!$E$33</definedName>
    <definedName name="Z_700D1B00_6538_11D7_B05C_92A4B6AD2278_.wvu.PrintArea" localSheetId="0" hidden="1">'Tirage initial'!$A$1:$L$42</definedName>
    <definedName name="_xlnm.Print_Area" localSheetId="3">'Feuille de compétences'!$A$1:$T$95</definedName>
    <definedName name="_xlnm.Print_Area" localSheetId="1">'Feuille de personnage'!$A$1:$S$64</definedName>
    <definedName name="_xlnm.Print_Area" localSheetId="0">'Tirage initial'!$A$1:$M$42</definedName>
  </definedNames>
  <calcPr fullCalcOnLoad="1"/>
</workbook>
</file>

<file path=xl/comments1.xml><?xml version="1.0" encoding="utf-8"?>
<comments xmlns="http://schemas.openxmlformats.org/spreadsheetml/2006/main">
  <authors>
    <author>Mao</author>
  </authors>
  <commentList>
    <comment ref="B35" authorId="0">
      <text>
        <r>
          <rPr>
            <b/>
            <sz val="8"/>
            <rFont val="Tahoma"/>
            <family val="0"/>
          </rPr>
          <t>Astronaute
Combattant
technicien
Chercheur medical
Ingenieur
Chercheur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14"/>
            <rFont val="Tahoma"/>
            <family val="2"/>
          </rPr>
          <t xml:space="preserve">d100
</t>
        </r>
        <r>
          <rPr>
            <sz val="12"/>
            <rFont val="Tahoma"/>
            <family val="2"/>
          </rPr>
          <t>jet supplementaire</t>
        </r>
      </text>
    </comment>
    <comment ref="H7" authorId="0">
      <text>
        <r>
          <rPr>
            <b/>
            <sz val="14"/>
            <rFont val="Tahoma"/>
            <family val="2"/>
          </rPr>
          <t>d20</t>
        </r>
      </text>
    </comment>
    <comment ref="H9" authorId="0">
      <text>
        <r>
          <rPr>
            <b/>
            <sz val="14"/>
            <rFont val="Tahoma"/>
            <family val="2"/>
          </rPr>
          <t>d20</t>
        </r>
      </text>
    </comment>
    <comment ref="H10" authorId="0">
      <text>
        <r>
          <rPr>
            <b/>
            <sz val="14"/>
            <rFont val="Tahoma"/>
            <family val="2"/>
          </rPr>
          <t>d100</t>
        </r>
      </text>
    </comment>
    <comment ref="H11" authorId="0">
      <text>
        <r>
          <rPr>
            <b/>
            <sz val="14"/>
            <rFont val="Tahoma"/>
            <family val="2"/>
          </rPr>
          <t xml:space="preserve">d100
</t>
        </r>
        <r>
          <rPr>
            <b/>
            <sz val="11"/>
            <rFont val="Tahoma"/>
            <family val="2"/>
          </rPr>
          <t>Jet supplementaire</t>
        </r>
      </text>
    </comment>
    <comment ref="C33" authorId="0">
      <text>
        <r>
          <rPr>
            <b/>
            <sz val="14"/>
            <rFont val="Tahoma"/>
            <family val="2"/>
          </rPr>
          <t>d20</t>
        </r>
        <r>
          <rPr>
            <b/>
            <sz val="12"/>
            <rFont val="Tahoma"/>
            <family val="2"/>
          </rPr>
          <t xml:space="preserve">
Durée de l'egagement initial</t>
        </r>
        <r>
          <rPr>
            <sz val="8"/>
            <rFont val="Tahoma"/>
            <family val="0"/>
          </rPr>
          <t xml:space="preserve">
</t>
        </r>
      </text>
    </comment>
    <comment ref="I33" authorId="0">
      <text>
        <r>
          <rPr>
            <b/>
            <sz val="14"/>
            <rFont val="Tahoma"/>
            <family val="2"/>
          </rPr>
          <t>6d6</t>
        </r>
        <r>
          <rPr>
            <b/>
            <sz val="12"/>
            <rFont val="Tahoma"/>
            <family val="2"/>
          </rPr>
          <t xml:space="preserve">
jet pour bonus de points d'apprentissage</t>
        </r>
      </text>
    </comment>
    <comment ref="B14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15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16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17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18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19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20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21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22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23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24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25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26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B27" authorId="0">
      <text>
        <r>
          <rPr>
            <b/>
            <sz val="14"/>
            <rFont val="Tahoma"/>
            <family val="2"/>
          </rPr>
          <t xml:space="preserve">d100
</t>
        </r>
      </text>
    </comment>
    <comment ref="L27" authorId="0">
      <text>
        <r>
          <rPr>
            <b/>
            <sz val="10"/>
            <rFont val="Tahoma"/>
            <family val="2"/>
          </rPr>
          <t>Homme
Male
femme
Femelle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points à distribuer aux différents tirage au grée du joueur.
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10"/>
            <rFont val="Tahoma"/>
            <family val="2"/>
          </rPr>
          <t>Avien
Canin
Felin
Humain
Humanoide
Singe
Transhumain
Saurien
Oursoide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<sst xmlns="http://schemas.openxmlformats.org/spreadsheetml/2006/main" count="1123" uniqueCount="619">
  <si>
    <t>Tirage de personnages</t>
  </si>
  <si>
    <t>Joueur ;</t>
  </si>
  <si>
    <t>Nom de personnage ;</t>
  </si>
  <si>
    <t>Physique</t>
  </si>
  <si>
    <t>Force</t>
  </si>
  <si>
    <t>Constitution</t>
  </si>
  <si>
    <t>Agilité</t>
  </si>
  <si>
    <t>Dexterité</t>
  </si>
  <si>
    <t>Intuition</t>
  </si>
  <si>
    <t>Intelligence</t>
  </si>
  <si>
    <t>Commandement</t>
  </si>
  <si>
    <t>Courage</t>
  </si>
  <si>
    <t>Relationnel</t>
  </si>
  <si>
    <t>Psionique</t>
  </si>
  <si>
    <t>Habilité Electrique</t>
  </si>
  <si>
    <t>Habilité Mechanique</t>
  </si>
  <si>
    <t>Habilité Générale Technique</t>
  </si>
  <si>
    <t>Modificateur Disponible</t>
  </si>
  <si>
    <t>Astronaute</t>
  </si>
  <si>
    <t>Combattant</t>
  </si>
  <si>
    <t>Technicien</t>
  </si>
  <si>
    <t>Technicien medical</t>
  </si>
  <si>
    <t>Ingénieur chercheur</t>
  </si>
  <si>
    <t>Chercheur</t>
  </si>
  <si>
    <t>Asrtonaute</t>
  </si>
  <si>
    <t>Profession choisie ;</t>
  </si>
  <si>
    <t>Final</t>
  </si>
  <si>
    <t>Dex HGT HM HE</t>
  </si>
  <si>
    <t>Dex Int Ion</t>
  </si>
  <si>
    <t>Int Ion HGT</t>
  </si>
  <si>
    <t>Dex Int HGT HM HE</t>
  </si>
  <si>
    <t>phy For Con Agi Cou Com</t>
  </si>
  <si>
    <t>Con Dex Agi Int Ion Cou Com HGT</t>
  </si>
  <si>
    <t>Mod</t>
  </si>
  <si>
    <t>+40</t>
  </si>
  <si>
    <t>+35</t>
  </si>
  <si>
    <t>Base de compétence</t>
  </si>
  <si>
    <t>Bonus</t>
  </si>
  <si>
    <t>Années de service</t>
  </si>
  <si>
    <t>%total</t>
  </si>
  <si>
    <t>Caractéristique naissance</t>
  </si>
  <si>
    <t>Modif planete</t>
  </si>
  <si>
    <t>Planete d'Origine ;</t>
  </si>
  <si>
    <t>Gravité</t>
  </si>
  <si>
    <t>Atmosphere</t>
  </si>
  <si>
    <t>Climat</t>
  </si>
  <si>
    <t>Minimum</t>
  </si>
  <si>
    <t>Stamina</t>
  </si>
  <si>
    <t>Race Choisie ;</t>
  </si>
  <si>
    <t>Enrolement</t>
  </si>
  <si>
    <t>Années</t>
  </si>
  <si>
    <t>6d6</t>
  </si>
  <si>
    <t>Age du personnage ;</t>
  </si>
  <si>
    <t>Années Standards</t>
  </si>
  <si>
    <t>Poids ;</t>
  </si>
  <si>
    <t>Points</t>
  </si>
  <si>
    <t>Score</t>
  </si>
  <si>
    <t>constitution</t>
  </si>
  <si>
    <t>CON+</t>
  </si>
  <si>
    <t>Standard</t>
  </si>
  <si>
    <t>Steppe</t>
  </si>
  <si>
    <t>Tundra</t>
  </si>
  <si>
    <t>Ocean</t>
  </si>
  <si>
    <t>Normal axial tilt at outer stellar ecosphere</t>
  </si>
  <si>
    <t>Minimal axial tilt at outer edge of stellar ecosphere</t>
  </si>
  <si>
    <t>Extreme axial tilt at outer edge of stellar ecosphere</t>
  </si>
  <si>
    <t>Normal axial tilt at inner stellar ecosphere</t>
  </si>
  <si>
    <t>Minimall axial tilt at inner stellar ecosphere</t>
  </si>
  <si>
    <t>Extreme axial tilt at inner stellar ecosphere</t>
  </si>
  <si>
    <t>Eccentric Orbit</t>
  </si>
  <si>
    <t>Inside inner stellar ecosphere</t>
  </si>
  <si>
    <t>Outside stellar ecosphere</t>
  </si>
  <si>
    <t>Race Lookup Table</t>
  </si>
  <si>
    <t>Race</t>
  </si>
  <si>
    <t>Col</t>
  </si>
  <si>
    <t>Feline</t>
  </si>
  <si>
    <t>Enlistment Classification</t>
  </si>
  <si>
    <t>StarForce Astronaut</t>
  </si>
  <si>
    <t>StarForce Scientists</t>
  </si>
  <si>
    <t>StarForce Engineer</t>
  </si>
  <si>
    <t>StarForce Physician</t>
  </si>
  <si>
    <t>StarForce Tech</t>
  </si>
  <si>
    <t>Marine Armsman</t>
  </si>
  <si>
    <t>Marine Tech</t>
  </si>
  <si>
    <t>Commando Armsman</t>
  </si>
  <si>
    <t>Commando Tech</t>
  </si>
  <si>
    <t>BOSS Scientist</t>
  </si>
  <si>
    <t>BOSS Armsman</t>
  </si>
  <si>
    <t>BOSS Tech</t>
  </si>
  <si>
    <t>DF</t>
  </si>
  <si>
    <t>BRINT Astronaut</t>
  </si>
  <si>
    <t>BRINT Scientist</t>
  </si>
  <si>
    <t>BRINT Armsman</t>
  </si>
  <si>
    <t>BRINT Tech</t>
  </si>
  <si>
    <t>IPA Astronaut</t>
  </si>
  <si>
    <t>IPA Scientist</t>
  </si>
  <si>
    <t>IPA Armsman</t>
  </si>
  <si>
    <t>IPA Tech</t>
  </si>
  <si>
    <t>Survey Astronaut</t>
  </si>
  <si>
    <t>Survey Scientist</t>
  </si>
  <si>
    <t>Survey Engineer</t>
  </si>
  <si>
    <t>Survey Physician</t>
  </si>
  <si>
    <t>SF</t>
  </si>
  <si>
    <t>Survey Tech</t>
  </si>
  <si>
    <t>Survey Armsman</t>
  </si>
  <si>
    <t>Scout Armsman</t>
  </si>
  <si>
    <t>Scout Tech</t>
  </si>
  <si>
    <t>Explorer Astronaut</t>
  </si>
  <si>
    <t>Explorer Scientist</t>
  </si>
  <si>
    <t>Explorer Engineer</t>
  </si>
  <si>
    <t>Explorer Physician</t>
  </si>
  <si>
    <t>Explorer Tech</t>
  </si>
  <si>
    <t>Explorer Armsman</t>
  </si>
  <si>
    <t>Contact Scientist</t>
  </si>
  <si>
    <t>Merchant Astronaut</t>
  </si>
  <si>
    <t>Merchant Scientist</t>
  </si>
  <si>
    <t>Merchant Engineer</t>
  </si>
  <si>
    <t>Merchant Physician</t>
  </si>
  <si>
    <t>Merchant Tech</t>
  </si>
  <si>
    <t>Merchant Armsman</t>
  </si>
  <si>
    <t>Merchant Multi</t>
  </si>
  <si>
    <t>PDF Armsman</t>
  </si>
  <si>
    <t>PDF Tech</t>
  </si>
  <si>
    <t>Police Scientist</t>
  </si>
  <si>
    <t>Police Tech</t>
  </si>
  <si>
    <t>Police Armsman</t>
  </si>
  <si>
    <t>PC Fatigue</t>
  </si>
  <si>
    <t>Mercenary Astronaut</t>
  </si>
  <si>
    <t>Type of Movement</t>
  </si>
  <si>
    <t>A</t>
  </si>
  <si>
    <t>B</t>
  </si>
  <si>
    <t>C</t>
  </si>
  <si>
    <t>Stamina Cost/Hr</t>
  </si>
  <si>
    <t>Mercenary Scientist</t>
  </si>
  <si>
    <t>Mercenary Engineer</t>
  </si>
  <si>
    <t>Mercenary Physician</t>
  </si>
  <si>
    <t>Mercenary Tech</t>
  </si>
  <si>
    <t>Mercenary Armsman</t>
  </si>
  <si>
    <t>Sprint</t>
  </si>
  <si>
    <t>Trot</t>
  </si>
  <si>
    <t>Notes</t>
  </si>
  <si>
    <t>Medecin</t>
  </si>
  <si>
    <t>Atmosphére planétaire</t>
  </si>
  <si>
    <t>Atmosphere Artificielle</t>
  </si>
  <si>
    <t>Basse Pression</t>
  </si>
  <si>
    <t>Basse Pression contaminée</t>
  </si>
  <si>
    <t>Pression normale</t>
  </si>
  <si>
    <t>Pression normale  contaminée</t>
  </si>
  <si>
    <t>Haute pression</t>
  </si>
  <si>
    <t>Pression importante</t>
  </si>
  <si>
    <t>Pression importante contaminée</t>
  </si>
  <si>
    <t>Pression Exotique</t>
  </si>
  <si>
    <t>Humain</t>
  </si>
  <si>
    <t>Humanoide</t>
  </si>
  <si>
    <t>Saurien</t>
  </si>
  <si>
    <t>Transhumain</t>
  </si>
  <si>
    <t>Oursoide</t>
  </si>
  <si>
    <t>Canin</t>
  </si>
  <si>
    <t>Felin</t>
  </si>
  <si>
    <t>Avien</t>
  </si>
  <si>
    <t>Type</t>
  </si>
  <si>
    <t xml:space="preserve">Champ de gravité planétaire </t>
  </si>
  <si>
    <t>Climat planétaire</t>
  </si>
  <si>
    <t>Planete type</t>
  </si>
  <si>
    <t>Service</t>
  </si>
  <si>
    <t>Facteur de Modification de puissance par race</t>
  </si>
  <si>
    <t>g</t>
  </si>
  <si>
    <t>Total</t>
  </si>
  <si>
    <t>Ingenieur</t>
  </si>
  <si>
    <t>Technicien Medical</t>
  </si>
  <si>
    <t>Police Scientifique</t>
  </si>
  <si>
    <t>Policier</t>
  </si>
  <si>
    <t>Astronaut mercenaire</t>
  </si>
  <si>
    <t>Scientifique Mercenaire</t>
  </si>
  <si>
    <t>Ingenieur mercenaire</t>
  </si>
  <si>
    <t>Medecin mecenaire</t>
  </si>
  <si>
    <t>technicien mercenaire</t>
  </si>
  <si>
    <t>Combattant mercenaire</t>
  </si>
  <si>
    <t>Marchant Astronaute</t>
  </si>
  <si>
    <t xml:space="preserve">Linguiste </t>
  </si>
  <si>
    <t>Explorateur</t>
  </si>
  <si>
    <t>Scout</t>
  </si>
  <si>
    <t>Surveillance</t>
  </si>
  <si>
    <t>Astronavale</t>
  </si>
  <si>
    <t>Service civil</t>
  </si>
  <si>
    <t>Agence de Police Intergalactique</t>
  </si>
  <si>
    <t>Renseignement Militaire</t>
  </si>
  <si>
    <t>Facteur de degat sans arme</t>
  </si>
  <si>
    <t>Poids male</t>
  </si>
  <si>
    <t>Taille male</t>
  </si>
  <si>
    <t>Taille femelle</t>
  </si>
  <si>
    <t>Poids femelle</t>
  </si>
  <si>
    <t>Aride</t>
  </si>
  <si>
    <t>Desertique</t>
  </si>
  <si>
    <t>Marais &amp; Jungle</t>
  </si>
  <si>
    <t>Sans saison</t>
  </si>
  <si>
    <t>Saisons extremes</t>
  </si>
  <si>
    <t>Age maxi</t>
  </si>
  <si>
    <t>Durée de vie probable ;</t>
  </si>
  <si>
    <t>Singe</t>
  </si>
  <si>
    <t>Taille ;</t>
  </si>
  <si>
    <t>kg</t>
  </si>
  <si>
    <t>m</t>
  </si>
  <si>
    <t>Sexe ;</t>
  </si>
  <si>
    <t>tirage</t>
  </si>
  <si>
    <t xml:space="preserve">Prochain seuil </t>
  </si>
  <si>
    <t>Ans Standarts.</t>
  </si>
  <si>
    <t>Race(s) Possible(s)</t>
  </si>
  <si>
    <t xml:space="preserve"> </t>
  </si>
  <si>
    <t xml:space="preserve">Date de création ; </t>
  </si>
  <si>
    <t>Date de jeux ;</t>
  </si>
  <si>
    <t>Caracteristique du personnage</t>
  </si>
  <si>
    <t>Profession</t>
  </si>
  <si>
    <t>Caracteristiques principales</t>
  </si>
  <si>
    <t>Jet</t>
  </si>
  <si>
    <t xml:space="preserve">Agilité </t>
  </si>
  <si>
    <t>Min Agilité</t>
  </si>
  <si>
    <t>Courage CR</t>
  </si>
  <si>
    <t>Habilité Habilité Mechaniquenique</t>
  </si>
  <si>
    <t>Max of: Habilité Technique Générale, Habilité Electrique, Habilité Mechanique</t>
  </si>
  <si>
    <t>Ingénieur</t>
  </si>
  <si>
    <t>Checheur</t>
  </si>
  <si>
    <t>0.25   0.4</t>
  </si>
  <si>
    <t>0.5   0.8</t>
  </si>
  <si>
    <t>0.9   1.1</t>
  </si>
  <si>
    <t>1.2   1.4</t>
  </si>
  <si>
    <t>1.5   1.8</t>
  </si>
  <si>
    <t>1.9   2.5</t>
  </si>
  <si>
    <t xml:space="preserve">  Physique, Force, Constitution, Agilité, Courage, Commandement</t>
  </si>
  <si>
    <t xml:space="preserve">  Constitution, Dexterité, Agilité, Intelligence, Intuition, Courage, Commandement, Habilité Technique Générale</t>
  </si>
  <si>
    <t xml:space="preserve">  Dexterité, Intelligence, Habilité Technique Générale, Habilité Mechanique, Habilité Electrique</t>
  </si>
  <si>
    <t xml:space="preserve">  Dexterité, Intelligence, Intuition</t>
  </si>
  <si>
    <t xml:space="preserve">  Intelligence, Intuition, Habilité Technique Générale</t>
  </si>
  <si>
    <t xml:space="preserve">  Dexterité, Habilité Technique Générale, Habilité Mechanique, Habilité Electrique</t>
  </si>
  <si>
    <t>Masse</t>
  </si>
  <si>
    <t>Nulle</t>
  </si>
  <si>
    <t>Table de localisation des races</t>
  </si>
  <si>
    <t>Constitution Mini</t>
  </si>
  <si>
    <t>Mini Physique</t>
  </si>
  <si>
    <t>CC Fac</t>
  </si>
  <si>
    <t>homme</t>
  </si>
  <si>
    <t>Jet initial d'enrolement</t>
  </si>
  <si>
    <t>Durée (ans)</t>
  </si>
  <si>
    <t>Tours</t>
  </si>
  <si>
    <t>joueur demissionne a la fin du premier tour</t>
  </si>
  <si>
    <t>Caracteristiques</t>
  </si>
  <si>
    <t>Joueur</t>
  </si>
  <si>
    <t>Nom</t>
  </si>
  <si>
    <t>Description</t>
  </si>
  <si>
    <t>;</t>
  </si>
  <si>
    <t>%</t>
  </si>
  <si>
    <t>Valeur</t>
  </si>
  <si>
    <t>CR</t>
  </si>
  <si>
    <t>Taille</t>
  </si>
  <si>
    <t>cm</t>
  </si>
  <si>
    <t>Kg</t>
  </si>
  <si>
    <t>Capacité de portage</t>
  </si>
  <si>
    <t>Souffle</t>
  </si>
  <si>
    <t>repos</t>
  </si>
  <si>
    <t>Récupération</t>
  </si>
  <si>
    <t>Actif</t>
  </si>
  <si>
    <t>Complet</t>
  </si>
  <si>
    <t>/ minutes</t>
  </si>
  <si>
    <t>max</t>
  </si>
  <si>
    <t>&lt;4/5</t>
  </si>
  <si>
    <t>&lt;2/3</t>
  </si>
  <si>
    <t>&lt;1/2</t>
  </si>
  <si>
    <t>&lt;1/3</t>
  </si>
  <si>
    <t>&lt;1/4</t>
  </si>
  <si>
    <t>&lt;1/7</t>
  </si>
  <si>
    <t>Origine</t>
  </si>
  <si>
    <t>Caractére</t>
  </si>
  <si>
    <t>limitation des facultés psioniques</t>
  </si>
  <si>
    <t>NON</t>
  </si>
  <si>
    <t>Caractéristiques</t>
  </si>
  <si>
    <t>OPTION</t>
  </si>
  <si>
    <t>p7 dernier §</t>
  </si>
  <si>
    <t>Endurance</t>
  </si>
  <si>
    <t>Resistance corporelle</t>
  </si>
  <si>
    <t>Modificateur de combat à mains nues</t>
  </si>
  <si>
    <t>Points d'apprentissage</t>
  </si>
  <si>
    <t>Partie professionnelle</t>
  </si>
  <si>
    <t>Autre</t>
  </si>
  <si>
    <t>Course</t>
  </si>
  <si>
    <t>Marche</t>
  </si>
  <si>
    <t>Crawl lent</t>
  </si>
  <si>
    <t>Promenade</t>
  </si>
  <si>
    <t>Crawl rapide</t>
  </si>
  <si>
    <t>Planete</t>
  </si>
  <si>
    <t>Systéme</t>
  </si>
  <si>
    <t>Diametre</t>
  </si>
  <si>
    <t>Atmosphére</t>
  </si>
  <si>
    <t>Coordonnées</t>
  </si>
  <si>
    <t>Hydrosphére</t>
  </si>
  <si>
    <t>Saison</t>
  </si>
  <si>
    <t>Nationalité</t>
  </si>
  <si>
    <t>Population</t>
  </si>
  <si>
    <t>Gouvernement</t>
  </si>
  <si>
    <t>Bureaucratie</t>
  </si>
  <si>
    <t>Niveau economique</t>
  </si>
  <si>
    <t>Exportations principales</t>
  </si>
  <si>
    <t>Importations principales</t>
  </si>
  <si>
    <t>Carriéres</t>
  </si>
  <si>
    <t>Service / Arme</t>
  </si>
  <si>
    <t>Rang</t>
  </si>
  <si>
    <t>En Mil.</t>
  </si>
  <si>
    <t>Silhouette</t>
  </si>
  <si>
    <t>Longueur de l'année</t>
  </si>
  <si>
    <t>Longueur du jour</t>
  </si>
  <si>
    <t>choisir la gravité</t>
  </si>
  <si>
    <t xml:space="preserve">Age réel </t>
  </si>
  <si>
    <t>Age physiologique</t>
  </si>
  <si>
    <t>Entrainement Psy</t>
  </si>
  <si>
    <t>Pratique Psy</t>
  </si>
  <si>
    <t>Psy</t>
  </si>
  <si>
    <t>Copyright Benoit OUVRARD 2003</t>
  </si>
  <si>
    <t>Space opera  F.G.U.</t>
  </si>
  <si>
    <t>SPACE OPERA ; Fantasy Games Unlimited 1981</t>
  </si>
  <si>
    <t>Les deux premieres feuilles sont destinées à simplifier la création d'un personnage de Space Opera jeu de role proposé par la sociéte FGU</t>
  </si>
  <si>
    <t>Données pour création de personnages pour Space Opera</t>
  </si>
  <si>
    <t>facteur de port par race</t>
  </si>
  <si>
    <t xml:space="preserve">Space Opera </t>
  </si>
  <si>
    <t>Date de création ;</t>
  </si>
  <si>
    <t>Profession ;</t>
  </si>
  <si>
    <t>Race ;</t>
  </si>
  <si>
    <t>Résistance aux choc</t>
  </si>
  <si>
    <t>Type de planéte</t>
  </si>
  <si>
    <t>Astroport(s)</t>
  </si>
  <si>
    <t>Niveau technologique</t>
  </si>
  <si>
    <t>Historique ;</t>
  </si>
  <si>
    <t>Coté Finance</t>
  </si>
  <si>
    <t>U.F.P. Banque ;</t>
  </si>
  <si>
    <t>Monnaie échangable ;</t>
  </si>
  <si>
    <t>Monnaie locale ;</t>
  </si>
  <si>
    <t>Marchandises ;</t>
  </si>
  <si>
    <t>Equipements</t>
  </si>
  <si>
    <t>Armes à distance</t>
  </si>
  <si>
    <t>Munition</t>
  </si>
  <si>
    <t>Bout portant</t>
  </si>
  <si>
    <t>S</t>
  </si>
  <si>
    <t>K</t>
  </si>
  <si>
    <t>J</t>
  </si>
  <si>
    <t>H</t>
  </si>
  <si>
    <t>G</t>
  </si>
  <si>
    <t>F</t>
  </si>
  <si>
    <t>D</t>
  </si>
  <si>
    <t>E</t>
  </si>
  <si>
    <t>Véhicule</t>
  </si>
  <si>
    <t>Bouclier</t>
  </si>
  <si>
    <t>Dégat</t>
  </si>
  <si>
    <t>AFV</t>
  </si>
  <si>
    <t>Portée</t>
  </si>
  <si>
    <t>Courte</t>
  </si>
  <si>
    <t>Moyenne</t>
  </si>
  <si>
    <t>Longue</t>
  </si>
  <si>
    <t>2/10</t>
  </si>
  <si>
    <t>Stun</t>
  </si>
  <si>
    <t>Armure naturelle</t>
  </si>
  <si>
    <t>Initiative</t>
  </si>
  <si>
    <t>Vitesse</t>
  </si>
  <si>
    <t>Peau</t>
  </si>
  <si>
    <t>Dégats</t>
  </si>
  <si>
    <t>1-2</t>
  </si>
  <si>
    <t>Armes de mélée</t>
  </si>
  <si>
    <t>Modif Vitesse</t>
  </si>
  <si>
    <t>Modif Longueur</t>
  </si>
  <si>
    <t>Att /tour</t>
  </si>
  <si>
    <t>cadence de tir</t>
  </si>
  <si>
    <r>
      <t>Armes</t>
    </r>
    <r>
      <rPr>
        <b/>
        <i/>
        <sz val="10"/>
        <rFont val="Book Antiqua"/>
        <family val="1"/>
      </rPr>
      <t xml:space="preserve"> Naturelles</t>
    </r>
  </si>
  <si>
    <t>Blessure</t>
  </si>
  <si>
    <t>Encombrement</t>
  </si>
  <si>
    <t>Entrainement</t>
  </si>
  <si>
    <t>Attitude</t>
  </si>
  <si>
    <t>Mouvement</t>
  </si>
  <si>
    <t>Var</t>
  </si>
  <si>
    <t>-</t>
  </si>
  <si>
    <t>+/-</t>
  </si>
  <si>
    <t>Sciences Physiques</t>
  </si>
  <si>
    <t>Prérequis</t>
  </si>
  <si>
    <t>Coût</t>
  </si>
  <si>
    <t>Niveau</t>
  </si>
  <si>
    <t>Physique Générale</t>
  </si>
  <si>
    <t>Mathématiques</t>
  </si>
  <si>
    <t>Chimie</t>
  </si>
  <si>
    <t>Planétologie</t>
  </si>
  <si>
    <t>Géographie</t>
  </si>
  <si>
    <t>Metalurgie</t>
  </si>
  <si>
    <t>Physique Nucléaire</t>
  </si>
  <si>
    <t>Physique temporelle</t>
  </si>
  <si>
    <t>Physique hyper-dimensionnelle</t>
  </si>
  <si>
    <t>Physique des champs de force</t>
  </si>
  <si>
    <t>Biologie</t>
  </si>
  <si>
    <t>Biochimie</t>
  </si>
  <si>
    <t>Botanique</t>
  </si>
  <si>
    <t>Xeno-botanique</t>
  </si>
  <si>
    <t>Ecologie</t>
  </si>
  <si>
    <t>Xeno-écologie</t>
  </si>
  <si>
    <t>Sciences du vivant</t>
  </si>
  <si>
    <t>Sciences médicales</t>
  </si>
  <si>
    <t>Médecine native</t>
  </si>
  <si>
    <t>Xeno-médecine</t>
  </si>
  <si>
    <t>Pratique médicale</t>
  </si>
  <si>
    <t>Technique médicale</t>
  </si>
  <si>
    <t>Ingenierie</t>
  </si>
  <si>
    <t>Ingénierie méchanique</t>
  </si>
  <si>
    <t>Ingénierie éléctronique</t>
  </si>
  <si>
    <t>Ingénierie énérgétique</t>
  </si>
  <si>
    <t>Ingénierie de moteurs spatiaux</t>
  </si>
  <si>
    <t>Ingénierie d'armement</t>
  </si>
  <si>
    <t>Astronautique</t>
  </si>
  <si>
    <t>Activité Spaciale Autonome</t>
  </si>
  <si>
    <t>ASA Avancée</t>
  </si>
  <si>
    <t>Procédure &amp; opération de Bord</t>
  </si>
  <si>
    <t>Pilotage Orbital</t>
  </si>
  <si>
    <t>Pilotage Orbital de Combat</t>
  </si>
  <si>
    <t>Pilotage Interplanetaire</t>
  </si>
  <si>
    <t>Pilotage supraluminique</t>
  </si>
  <si>
    <t>Astrogation</t>
  </si>
  <si>
    <t>Combat Spatial</t>
  </si>
  <si>
    <t>Armement spatial</t>
  </si>
  <si>
    <t>Technologie Spatiale</t>
  </si>
  <si>
    <t>Sciences sociales</t>
  </si>
  <si>
    <t>Sciences Sociales</t>
  </si>
  <si>
    <t>Histoire</t>
  </si>
  <si>
    <t>Cultures comparées</t>
  </si>
  <si>
    <t>Xéno-Cultures Comparées</t>
  </si>
  <si>
    <t>Psychologie</t>
  </si>
  <si>
    <t>Xéno-psychologie</t>
  </si>
  <si>
    <t>Linguisitique</t>
  </si>
  <si>
    <t>Nombres de langues parlées</t>
  </si>
  <si>
    <t>Anglique</t>
  </si>
  <si>
    <t>Français</t>
  </si>
  <si>
    <t>Espagnol</t>
  </si>
  <si>
    <t>Chinois</t>
  </si>
  <si>
    <t>Arabe</t>
  </si>
  <si>
    <t>Indien</t>
  </si>
  <si>
    <t>Formation 
de combat</t>
  </si>
  <si>
    <t>Connaissances générales</t>
  </si>
  <si>
    <t>Ingénierie Informatique</t>
  </si>
  <si>
    <t>Administration</t>
  </si>
  <si>
    <t>Corruption</t>
  </si>
  <si>
    <t>Jeux</t>
  </si>
  <si>
    <t>Relation avec le milieu</t>
  </si>
  <si>
    <t>Langue extra planetaire</t>
  </si>
  <si>
    <t>Contrefacon</t>
  </si>
  <si>
    <t>Fabrication</t>
  </si>
  <si>
    <t>Loi</t>
  </si>
  <si>
    <t>Nager</t>
  </si>
  <si>
    <t>Plonger</t>
  </si>
  <si>
    <t>Conduite</t>
  </si>
  <si>
    <t>Moto</t>
  </si>
  <si>
    <t>Voiture</t>
  </si>
  <si>
    <t>ATV à chenille</t>
  </si>
  <si>
    <t>ATV à roue</t>
  </si>
  <si>
    <t>Camion</t>
  </si>
  <si>
    <t>Semi remorque</t>
  </si>
  <si>
    <t>Hovercraft</t>
  </si>
  <si>
    <t>Engin de construction</t>
  </si>
  <si>
    <t>Avion mono moteur</t>
  </si>
  <si>
    <t>Avion multi moteur</t>
  </si>
  <si>
    <t>Hélicoptére</t>
  </si>
  <si>
    <t>Avion mono réacteur</t>
  </si>
  <si>
    <t>Avion multi réacteur</t>
  </si>
  <si>
    <t>Avion supersonique</t>
  </si>
  <si>
    <t>Vedette / hydrofoil</t>
  </si>
  <si>
    <t>Bateau cotier</t>
  </si>
  <si>
    <t>Navire de haute mer</t>
  </si>
  <si>
    <t>Voilier</t>
  </si>
  <si>
    <t>Sous marin</t>
  </si>
  <si>
    <t>Entrainement au combat</t>
  </si>
  <si>
    <t>Combat de rue</t>
  </si>
  <si>
    <t>Assaut parachutiste</t>
  </si>
  <si>
    <t>Ceinture de saut</t>
  </si>
  <si>
    <t>Harnai anti gravité</t>
  </si>
  <si>
    <t>Parachutiste de combat</t>
  </si>
  <si>
    <t>ATV</t>
  </si>
  <si>
    <t>Véhicule de transport</t>
  </si>
  <si>
    <t>Hovercraft de combat</t>
  </si>
  <si>
    <t>Char d'assault (chenille)</t>
  </si>
  <si>
    <t>APC tracked</t>
  </si>
  <si>
    <t>Vehicule à roues armé</t>
  </si>
  <si>
    <t>Hélicoptére de combat</t>
  </si>
  <si>
    <t>Environement hostile</t>
  </si>
  <si>
    <t>Survie artique</t>
  </si>
  <si>
    <t>Survie en Jungle&amp; marais</t>
  </si>
  <si>
    <t>Survie en mer</t>
  </si>
  <si>
    <t>Survie en foret</t>
  </si>
  <si>
    <t>Survie en steppe</t>
  </si>
  <si>
    <t>Premier secours</t>
  </si>
  <si>
    <t>Combat de force Blindée</t>
  </si>
  <si>
    <t>Assault héliporté</t>
  </si>
  <si>
    <t>Combat d'infanterie</t>
  </si>
  <si>
    <t>Artillerie</t>
  </si>
  <si>
    <t>Missile</t>
  </si>
  <si>
    <t>Arme lourde energetique</t>
  </si>
  <si>
    <t>Close combat</t>
  </si>
  <si>
    <t>Katana</t>
  </si>
  <si>
    <t>Pistolets automatiques</t>
  </si>
  <si>
    <t>Fusils a canon scié</t>
  </si>
  <si>
    <t>Armes ancienne 3</t>
  </si>
  <si>
    <t>Armes ancienne 2</t>
  </si>
  <si>
    <t>Armes ancienne 1</t>
  </si>
  <si>
    <t>Armes sportifs</t>
  </si>
  <si>
    <t>Armes militaires petit cal.</t>
  </si>
  <si>
    <t>Armes sans recul petit cal.</t>
  </si>
  <si>
    <t>STAT small armes</t>
  </si>
  <si>
    <t>Blasters</t>
  </si>
  <si>
    <t>Lasers</t>
  </si>
  <si>
    <t>Fusions</t>
  </si>
  <si>
    <t>Etourdisseur sonique</t>
  </si>
  <si>
    <t>Destructeur sonique</t>
  </si>
  <si>
    <t>Armes anti robot</t>
  </si>
  <si>
    <t>Armes speciales</t>
  </si>
  <si>
    <t>Lances flammes</t>
  </si>
  <si>
    <t>Lances grenade</t>
  </si>
  <si>
    <t>Lances roquettes</t>
  </si>
  <si>
    <t>Véhicules</t>
  </si>
  <si>
    <t>Véhicules militaires</t>
  </si>
  <si>
    <t>Avion</t>
  </si>
  <si>
    <t>Avion militaire</t>
  </si>
  <si>
    <t>Navire</t>
  </si>
  <si>
    <t>Navire militaire</t>
  </si>
  <si>
    <t>Machinerie de vaisseau spatial</t>
  </si>
  <si>
    <t>Equipement mecanique général</t>
  </si>
  <si>
    <t>Technique mécanique</t>
  </si>
  <si>
    <t>Technique spatiale</t>
  </si>
  <si>
    <t>Tuyéres &amp; booster</t>
  </si>
  <si>
    <t>Systéme anti gravité</t>
  </si>
  <si>
    <t>Moteur Spatial</t>
  </si>
  <si>
    <t>Moteur de saut spatial</t>
  </si>
  <si>
    <t>Moteur Supraluminique 10-</t>
  </si>
  <si>
    <t>Moteur Supraluminique 11-20</t>
  </si>
  <si>
    <t>Moteur Supraluminique 21+</t>
  </si>
  <si>
    <t>Véhcules extra-terrestre</t>
  </si>
  <si>
    <t>Technique informatique</t>
  </si>
  <si>
    <t>Mini ordinateur</t>
  </si>
  <si>
    <t>Sytéme d'ordinateur 1-3</t>
  </si>
  <si>
    <t>Sytéme d'ordinateur 9-10</t>
  </si>
  <si>
    <t>Sytéme d'ordinateur 7-8</t>
  </si>
  <si>
    <t>Sytéme d'ordinateur 4-5</t>
  </si>
  <si>
    <t>Sytéme d'ordinateur 6</t>
  </si>
  <si>
    <t>Programation civile</t>
  </si>
  <si>
    <t>Programation Scientifique</t>
  </si>
  <si>
    <t>Programation militaire</t>
  </si>
  <si>
    <t>Systéme cybernétique</t>
  </si>
  <si>
    <t>Cerveau cybernétique</t>
  </si>
  <si>
    <t>Moteurs étrangers</t>
  </si>
  <si>
    <t>Environement étrangers</t>
  </si>
  <si>
    <t>Odinateur étrangers</t>
  </si>
  <si>
    <t>Technique de sécurité</t>
  </si>
  <si>
    <t>Systéme de communication</t>
  </si>
  <si>
    <t>Systéme de contremesure</t>
  </si>
  <si>
    <t>Systéme d'analyse de crime</t>
  </si>
  <si>
    <t>systéme de detection</t>
  </si>
  <si>
    <t>Contrefacon / faux</t>
  </si>
  <si>
    <t>Armes de contact</t>
  </si>
  <si>
    <t>Technique</t>
  </si>
  <si>
    <t>Mitrailleuses</t>
  </si>
  <si>
    <t>T1</t>
  </si>
  <si>
    <t>T2</t>
  </si>
  <si>
    <t>T3</t>
  </si>
  <si>
    <t>Sys. d'identification personnel</t>
  </si>
  <si>
    <t>Technologie de production d'energie</t>
  </si>
  <si>
    <t>Centrale à energie thermique</t>
  </si>
  <si>
    <t>Centrale à energie nucléaire</t>
  </si>
  <si>
    <t>Sytéme d'energie portable</t>
  </si>
  <si>
    <t>centrale energie pour vehicule</t>
  </si>
  <si>
    <t>centrale d'energie Antimatiére</t>
  </si>
  <si>
    <t>Installation spatiale mobile</t>
  </si>
  <si>
    <t>Installation industrielle fixe</t>
  </si>
  <si>
    <t>Transmission par rayonnement</t>
  </si>
  <si>
    <t>Doctorat en médecine</t>
  </si>
  <si>
    <t>Genie militaire ; Fortification</t>
  </si>
  <si>
    <t xml:space="preserve">Genie militaire ; Destruction </t>
  </si>
  <si>
    <t>Genie militaire ; Construction</t>
  </si>
  <si>
    <t>Systéme éléctrique</t>
  </si>
  <si>
    <t>Electronique Avionique</t>
  </si>
  <si>
    <t>Electronique véhiculaire</t>
  </si>
  <si>
    <t>Systéme électrique spatiaux</t>
  </si>
  <si>
    <t>Technologie éléctrique et electronique</t>
  </si>
  <si>
    <t>Technologie de communication</t>
  </si>
  <si>
    <t>Lances-filets</t>
  </si>
  <si>
    <t>T4-7</t>
  </si>
  <si>
    <t>Dague / couteau lancé</t>
  </si>
  <si>
    <t>Epée 1 &amp; 2 mains</t>
  </si>
  <si>
    <t>Fleuret</t>
  </si>
  <si>
    <t>Sabre</t>
  </si>
  <si>
    <t>Hache de bataille / masse</t>
  </si>
  <si>
    <t>Epieu/bayonnette/Hallebarde</t>
  </si>
  <si>
    <t>Coagulateur/fouet neuronique/baton paralysant</t>
  </si>
  <si>
    <t>Epée Vibrante, a champ de force ou Monofilament</t>
  </si>
  <si>
    <t>Max</t>
  </si>
  <si>
    <t>Armurerie</t>
  </si>
  <si>
    <t>Armure</t>
  </si>
  <si>
    <t>Armure energétique</t>
  </si>
  <si>
    <t>Armes de mélées anciennes</t>
  </si>
  <si>
    <t>Armes de mélées modernes</t>
  </si>
  <si>
    <t>Armes à feu</t>
  </si>
  <si>
    <t>Lanceur de missile portable</t>
  </si>
  <si>
    <t>Lanceur de missile lourds</t>
  </si>
  <si>
    <t>Armes Spatiales</t>
  </si>
  <si>
    <t>Utilistaion d'explosif de combats</t>
  </si>
  <si>
    <t>Lanceur de filet</t>
  </si>
  <si>
    <t>laser</t>
  </si>
  <si>
    <t>blaster</t>
  </si>
  <si>
    <t>fusion</t>
  </si>
  <si>
    <t>Autres armes a energie</t>
  </si>
  <si>
    <t>Artillerie conventionnelle</t>
  </si>
  <si>
    <t>Armes lourdes à energie</t>
  </si>
  <si>
    <t>Champs de force</t>
  </si>
  <si>
    <t>Commerces &amp; loi</t>
  </si>
  <si>
    <t>Survie en milieu desertique</t>
  </si>
  <si>
    <t>Epeé laser ou lumiére</t>
  </si>
  <si>
    <r>
      <t>Grenades &amp; Mines</t>
    </r>
    <r>
      <rPr>
        <sz val="7"/>
        <rFont val="Bookman Old Style"/>
        <family val="1"/>
      </rPr>
      <t xml:space="preserve"> (deminages militaires)</t>
    </r>
  </si>
  <si>
    <t>Pieges / pose de bombe</t>
  </si>
  <si>
    <t>en cours de fabrication !!</t>
  </si>
  <si>
    <t>Stun pistol</t>
  </si>
  <si>
    <t>Formation de combat</t>
  </si>
  <si>
    <t>Procédure &amp; Opération de Bord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</si>
</sst>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+0;\-0"/>
    <numFmt numFmtId="173" formatCode="0.0"/>
    <numFmt numFmtId="174" formatCode="d\ mmmm\ yyyy"/>
  </numFmts>
  <fonts count="5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10"/>
      <name val="Arial Narrow"/>
      <family val="0"/>
    </font>
    <font>
      <sz val="10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u val="single"/>
      <sz val="16"/>
      <name val="Arial Narrow"/>
      <family val="0"/>
    </font>
    <font>
      <u val="single"/>
      <sz val="16"/>
      <name val="Arial"/>
      <family val="0"/>
    </font>
    <font>
      <sz val="6"/>
      <name val="Arial"/>
      <family val="2"/>
    </font>
    <font>
      <sz val="10"/>
      <name val="Book Antiqua"/>
      <family val="1"/>
    </font>
    <font>
      <b/>
      <i/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i/>
      <sz val="12"/>
      <name val="Book Antiqua"/>
      <family val="1"/>
    </font>
    <font>
      <b/>
      <i/>
      <sz val="11"/>
      <name val="Book Antiqua"/>
      <family val="1"/>
    </font>
    <font>
      <i/>
      <sz val="28"/>
      <name val="Book Antiqua"/>
      <family val="1"/>
    </font>
    <font>
      <i/>
      <sz val="11"/>
      <name val="Book Antiqua"/>
      <family val="1"/>
    </font>
    <font>
      <strike/>
      <sz val="10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7"/>
      <name val="Book Antiqua"/>
      <family val="1"/>
    </font>
    <font>
      <sz val="7.5"/>
      <name val="Book Antiqua"/>
      <family val="1"/>
    </font>
    <font>
      <sz val="10"/>
      <name val="Bookman Old Style"/>
      <family val="1"/>
    </font>
    <font>
      <i/>
      <sz val="8"/>
      <name val="Bookman Old Style"/>
      <family val="1"/>
    </font>
    <font>
      <sz val="9"/>
      <name val="Bookman Old Style"/>
      <family val="1"/>
    </font>
    <font>
      <b/>
      <i/>
      <sz val="9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i/>
      <u val="single"/>
      <sz val="18"/>
      <name val="Bookman Old Style"/>
      <family val="1"/>
    </font>
    <font>
      <sz val="16"/>
      <name val="Bookman Old Style"/>
      <family val="1"/>
    </font>
    <font>
      <i/>
      <sz val="11"/>
      <name val="Bookman Old Style"/>
      <family val="1"/>
    </font>
    <font>
      <b/>
      <sz val="10"/>
      <name val="Bookman Old Style"/>
      <family val="1"/>
    </font>
    <font>
      <b/>
      <i/>
      <sz val="11"/>
      <color indexed="52"/>
      <name val="Bookman Old Style"/>
      <family val="1"/>
    </font>
    <font>
      <i/>
      <sz val="10"/>
      <name val="Bookman Old Style"/>
      <family val="1"/>
    </font>
    <font>
      <b/>
      <sz val="11"/>
      <color indexed="10"/>
      <name val="Bookman Old Style"/>
      <family val="1"/>
    </font>
    <font>
      <b/>
      <sz val="14"/>
      <color indexed="10"/>
      <name val="Bookman Old Style"/>
      <family val="1"/>
    </font>
    <font>
      <sz val="10"/>
      <color indexed="10"/>
      <name val="Bookman Old Style"/>
      <family val="1"/>
    </font>
    <font>
      <i/>
      <sz val="7"/>
      <name val="Bookman Old Style"/>
      <family val="1"/>
    </font>
    <font>
      <b/>
      <sz val="20"/>
      <color indexed="10"/>
      <name val="Arial"/>
      <family val="2"/>
    </font>
    <font>
      <b/>
      <i/>
      <sz val="11"/>
      <name val="Bookman Old Style"/>
      <family val="1"/>
    </font>
    <font>
      <sz val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16" fillId="0" borderId="6" xfId="0" applyFont="1" applyBorder="1" applyAlignment="1" applyProtection="1">
      <alignment vertical="center"/>
      <protection hidden="1"/>
    </xf>
    <xf numFmtId="0" fontId="16" fillId="0" borderId="7" xfId="0" applyFont="1" applyBorder="1" applyAlignment="1" applyProtection="1">
      <alignment horizontal="centerContinuous" vertical="center"/>
      <protection hidden="1"/>
    </xf>
    <xf numFmtId="0" fontId="16" fillId="0" borderId="8" xfId="0" applyFont="1" applyBorder="1" applyAlignment="1" applyProtection="1">
      <alignment vertical="center"/>
      <protection hidden="1"/>
    </xf>
    <xf numFmtId="0" fontId="16" fillId="0" borderId="9" xfId="0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 applyProtection="1">
      <alignment vertical="center"/>
      <protection hidden="1"/>
    </xf>
    <xf numFmtId="174" fontId="16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0" applyFont="1" applyBorder="1" applyAlignment="1" applyProtection="1">
      <alignment horizontal="centerContinuous" vertical="center"/>
      <protection hidden="1"/>
    </xf>
    <xf numFmtId="0" fontId="18" fillId="0" borderId="1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Continuous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 quotePrefix="1">
      <alignment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 quotePrefix="1">
      <alignment vertical="center"/>
      <protection hidden="1"/>
    </xf>
    <xf numFmtId="0" fontId="18" fillId="0" borderId="11" xfId="0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4" xfId="0" applyFont="1" applyBorder="1" applyAlignment="1" applyProtection="1">
      <alignment vertical="center"/>
      <protection hidden="1"/>
    </xf>
    <xf numFmtId="1" fontId="18" fillId="0" borderId="17" xfId="0" applyNumberFormat="1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18" fillId="0" borderId="13" xfId="0" applyFont="1" applyBorder="1" applyAlignment="1" applyProtection="1" quotePrefix="1">
      <alignment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vertical="center"/>
      <protection hidden="1"/>
    </xf>
    <xf numFmtId="0" fontId="18" fillId="0" borderId="2" xfId="0" applyFont="1" applyBorder="1" applyAlignment="1" applyProtection="1">
      <alignment horizontal="centerContinuous" vertical="center"/>
      <protection hidden="1"/>
    </xf>
    <xf numFmtId="0" fontId="18" fillId="0" borderId="4" xfId="0" applyFont="1" applyBorder="1" applyAlignment="1" applyProtection="1">
      <alignment horizontal="centerContinuous" vertical="center"/>
      <protection hidden="1"/>
    </xf>
    <xf numFmtId="0" fontId="18" fillId="0" borderId="5" xfId="0" applyFont="1" applyBorder="1" applyAlignment="1" applyProtection="1">
      <alignment horizontal="centerContinuous" vertical="center"/>
      <protection hidden="1"/>
    </xf>
    <xf numFmtId="0" fontId="18" fillId="0" borderId="22" xfId="0" applyFont="1" applyBorder="1" applyAlignment="1" applyProtection="1">
      <alignment horizontal="centerContinuous"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1" fontId="18" fillId="0" borderId="26" xfId="0" applyNumberFormat="1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vertical="center"/>
      <protection hidden="1"/>
    </xf>
    <xf numFmtId="0" fontId="18" fillId="0" borderId="27" xfId="0" applyFont="1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vertical="center"/>
      <protection hidden="1"/>
    </xf>
    <xf numFmtId="0" fontId="18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vertical="center"/>
      <protection locked="0"/>
    </xf>
    <xf numFmtId="0" fontId="18" fillId="0" borderId="31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32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34" xfId="0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35" xfId="0" applyFont="1" applyBorder="1" applyAlignment="1" applyProtection="1">
      <alignment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9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2" fillId="0" borderId="19" xfId="0" applyFont="1" applyBorder="1" applyAlignment="1" applyProtection="1">
      <alignment vertical="center"/>
      <protection hidden="1"/>
    </xf>
    <xf numFmtId="0" fontId="23" fillId="0" borderId="7" xfId="0" applyFont="1" applyBorder="1" applyAlignment="1" applyProtection="1">
      <alignment horizontal="centerContinuous" vertical="top"/>
      <protection hidden="1"/>
    </xf>
    <xf numFmtId="0" fontId="16" fillId="0" borderId="16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16" fillId="0" borderId="9" xfId="0" applyFont="1" applyBorder="1" applyAlignment="1">
      <alignment horizontal="centerContinuous" vertical="center"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 vertical="center" textRotation="180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textRotation="180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6" fillId="0" borderId="40" xfId="0" applyFont="1" applyBorder="1" applyAlignment="1">
      <alignment vertical="center" textRotation="180"/>
    </xf>
    <xf numFmtId="0" fontId="16" fillId="0" borderId="41" xfId="0" applyFont="1" applyBorder="1" applyAlignment="1">
      <alignment vertical="center" textRotation="180"/>
    </xf>
    <xf numFmtId="0" fontId="16" fillId="0" borderId="42" xfId="0" applyFont="1" applyBorder="1" applyAlignment="1">
      <alignment vertical="center" textRotation="180"/>
    </xf>
    <xf numFmtId="0" fontId="16" fillId="0" borderId="4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Continuous" vertical="center" wrapText="1"/>
    </xf>
    <xf numFmtId="0" fontId="26" fillId="0" borderId="43" xfId="0" applyFont="1" applyBorder="1" applyAlignment="1">
      <alignment horizontal="centerContinuous" vertical="center" wrapText="1"/>
    </xf>
    <xf numFmtId="0" fontId="16" fillId="0" borderId="43" xfId="0" applyFont="1" applyBorder="1" applyAlignment="1">
      <alignment horizontal="center" vertical="center" textRotation="180"/>
    </xf>
    <xf numFmtId="0" fontId="16" fillId="0" borderId="44" xfId="0" applyFont="1" applyBorder="1" applyAlignment="1">
      <alignment horizontal="center" vertical="center" textRotation="180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horizontal="centerContinuous" vertical="center"/>
    </xf>
    <xf numFmtId="0" fontId="16" fillId="0" borderId="30" xfId="0" applyFont="1" applyBorder="1" applyAlignment="1">
      <alignment horizontal="centerContinuous" vertical="center"/>
    </xf>
    <xf numFmtId="0" fontId="16" fillId="0" borderId="49" xfId="0" applyFont="1" applyBorder="1" applyAlignment="1">
      <alignment horizontal="centerContinuous"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 textRotation="180"/>
    </xf>
    <xf numFmtId="0" fontId="29" fillId="0" borderId="43" xfId="0" applyFont="1" applyBorder="1" applyAlignment="1">
      <alignment horizontal="centerContinuous" vertical="center" wrapText="1"/>
    </xf>
    <xf numFmtId="0" fontId="27" fillId="0" borderId="43" xfId="0" applyFont="1" applyBorder="1" applyAlignment="1">
      <alignment horizontal="center" vertical="center" textRotation="180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vertical="center" textRotation="180"/>
    </xf>
    <xf numFmtId="0" fontId="27" fillId="0" borderId="39" xfId="0" applyFont="1" applyBorder="1" applyAlignment="1">
      <alignment horizontal="center" vertical="center" textRotation="180"/>
    </xf>
    <xf numFmtId="0" fontId="22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26" fillId="0" borderId="9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 quotePrefix="1">
      <alignment horizontal="center"/>
    </xf>
    <xf numFmtId="0" fontId="16" fillId="0" borderId="13" xfId="0" applyFont="1" applyBorder="1" applyAlignment="1" quotePrefix="1">
      <alignment horizontal="right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16" fillId="0" borderId="56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Continuous" vertical="center" wrapText="1"/>
      <protection locked="0"/>
    </xf>
    <xf numFmtId="0" fontId="16" fillId="0" borderId="54" xfId="0" applyFont="1" applyBorder="1" applyAlignment="1" applyProtection="1">
      <alignment horizontal="centerContinuous" vertical="center" wrapText="1"/>
      <protection locked="0"/>
    </xf>
    <xf numFmtId="0" fontId="27" fillId="0" borderId="39" xfId="0" applyFont="1" applyBorder="1" applyAlignment="1" applyProtection="1">
      <alignment horizontal="center" vertical="center" textRotation="180"/>
      <protection locked="0"/>
    </xf>
    <xf numFmtId="0" fontId="16" fillId="0" borderId="39" xfId="0" applyFont="1" applyBorder="1" applyAlignment="1" applyProtection="1">
      <alignment horizontal="center" vertical="center" textRotation="180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 textRotation="180"/>
      <protection locked="0"/>
    </xf>
    <xf numFmtId="0" fontId="27" fillId="0" borderId="57" xfId="0" applyFont="1" applyBorder="1" applyAlignment="1" applyProtection="1">
      <alignment/>
      <protection locked="0"/>
    </xf>
    <xf numFmtId="0" fontId="16" fillId="0" borderId="2" xfId="0" applyFont="1" applyBorder="1" applyAlignment="1" applyProtection="1">
      <alignment horizontal="centerContinuous" vertical="center"/>
      <protection locked="0"/>
    </xf>
    <xf numFmtId="0" fontId="16" fillId="0" borderId="5" xfId="0" applyFont="1" applyBorder="1" applyAlignment="1" applyProtection="1">
      <alignment horizontal="centerContinuous" vertical="center"/>
      <protection locked="0"/>
    </xf>
    <xf numFmtId="0" fontId="27" fillId="0" borderId="1" xfId="0" applyFont="1" applyBorder="1" applyAlignment="1" applyProtection="1">
      <alignment/>
      <protection locked="0"/>
    </xf>
    <xf numFmtId="0" fontId="27" fillId="0" borderId="17" xfId="0" applyFont="1" applyBorder="1" applyAlignment="1" applyProtection="1">
      <alignment/>
      <protection locked="0"/>
    </xf>
    <xf numFmtId="0" fontId="16" fillId="0" borderId="58" xfId="0" applyFont="1" applyBorder="1" applyAlignment="1" applyProtection="1">
      <alignment/>
      <protection locked="0"/>
    </xf>
    <xf numFmtId="0" fontId="16" fillId="0" borderId="59" xfId="0" applyFont="1" applyBorder="1" applyAlignment="1" applyProtection="1">
      <alignment horizontal="centerContinuous" vertical="center"/>
      <protection locked="0"/>
    </xf>
    <xf numFmtId="0" fontId="16" fillId="0" borderId="60" xfId="0" applyFont="1" applyBorder="1" applyAlignment="1" applyProtection="1">
      <alignment horizontal="centerContinuous" vertical="center"/>
      <protection locked="0"/>
    </xf>
    <xf numFmtId="0" fontId="16" fillId="0" borderId="25" xfId="0" applyFont="1" applyBorder="1" applyAlignment="1" applyProtection="1">
      <alignment/>
      <protection locked="0"/>
    </xf>
    <xf numFmtId="0" fontId="16" fillId="0" borderId="26" xfId="0" applyFont="1" applyBorder="1" applyAlignment="1" applyProtection="1">
      <alignment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16" fontId="28" fillId="0" borderId="39" xfId="0" applyNumberFormat="1" applyFont="1" applyBorder="1" applyAlignment="1" applyProtection="1" quotePrefix="1">
      <alignment horizontal="center"/>
      <protection locked="0"/>
    </xf>
    <xf numFmtId="0" fontId="27" fillId="0" borderId="1" xfId="0" applyFont="1" applyBorder="1" applyAlignment="1" applyProtection="1" quotePrefix="1">
      <alignment horizontal="center"/>
      <protection locked="0"/>
    </xf>
    <xf numFmtId="16" fontId="27" fillId="0" borderId="17" xfId="0" applyNumberFormat="1" applyFont="1" applyBorder="1" applyAlignment="1" applyProtection="1" quotePrefix="1">
      <alignment horizontal="center"/>
      <protection locked="0"/>
    </xf>
    <xf numFmtId="0" fontId="16" fillId="0" borderId="57" xfId="0" applyFont="1" applyBorder="1" applyAlignment="1" applyProtection="1">
      <alignment/>
      <protection locked="0"/>
    </xf>
    <xf numFmtId="0" fontId="16" fillId="0" borderId="1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61" xfId="0" applyFont="1" applyBorder="1" applyAlignment="1" applyProtection="1">
      <alignment/>
      <protection locked="0"/>
    </xf>
    <xf numFmtId="0" fontId="16" fillId="0" borderId="38" xfId="0" applyFont="1" applyBorder="1" applyAlignment="1" applyProtection="1">
      <alignment/>
      <protection locked="0"/>
    </xf>
    <xf numFmtId="0" fontId="16" fillId="0" borderId="62" xfId="0" applyFont="1" applyBorder="1" applyAlignment="1" applyProtection="1">
      <alignment/>
      <protection locked="0"/>
    </xf>
    <xf numFmtId="0" fontId="16" fillId="0" borderId="32" xfId="0" applyFont="1" applyBorder="1" applyAlignment="1" applyProtection="1">
      <alignment/>
      <protection locked="0"/>
    </xf>
    <xf numFmtId="0" fontId="16" fillId="0" borderId="33" xfId="0" applyFont="1" applyBorder="1" applyAlignment="1" applyProtection="1">
      <alignment/>
      <protection locked="0"/>
    </xf>
    <xf numFmtId="0" fontId="16" fillId="0" borderId="34" xfId="0" applyFont="1" applyBorder="1" applyAlignment="1" applyProtection="1">
      <alignment/>
      <protection locked="0"/>
    </xf>
    <xf numFmtId="0" fontId="16" fillId="0" borderId="35" xfId="0" applyFont="1" applyBorder="1" applyAlignment="1" applyProtection="1">
      <alignment/>
      <protection locked="0"/>
    </xf>
    <xf numFmtId="0" fontId="16" fillId="0" borderId="36" xfId="0" applyFont="1" applyBorder="1" applyAlignment="1" applyProtection="1">
      <alignment/>
      <protection locked="0"/>
    </xf>
    <xf numFmtId="0" fontId="16" fillId="0" borderId="37" xfId="0" applyFont="1" applyBorder="1" applyAlignment="1" applyProtection="1">
      <alignment/>
      <protection locked="0"/>
    </xf>
    <xf numFmtId="0" fontId="16" fillId="0" borderId="38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21" fillId="0" borderId="61" xfId="0" applyFont="1" applyBorder="1" applyAlignment="1" applyProtection="1">
      <alignment/>
      <protection locked="0"/>
    </xf>
    <xf numFmtId="0" fontId="21" fillId="0" borderId="38" xfId="0" applyFont="1" applyBorder="1" applyAlignment="1" applyProtection="1">
      <alignment/>
      <protection locked="0"/>
    </xf>
    <xf numFmtId="0" fontId="21" fillId="0" borderId="62" xfId="0" applyFont="1" applyBorder="1" applyAlignment="1" applyProtection="1">
      <alignment/>
      <protection locked="0"/>
    </xf>
    <xf numFmtId="0" fontId="21" fillId="0" borderId="32" xfId="0" applyFont="1" applyBorder="1" applyAlignment="1" applyProtection="1">
      <alignment/>
      <protection locked="0"/>
    </xf>
    <xf numFmtId="0" fontId="21" fillId="0" borderId="33" xfId="0" applyFont="1" applyBorder="1" applyAlignment="1" applyProtection="1">
      <alignment/>
      <protection locked="0"/>
    </xf>
    <xf numFmtId="0" fontId="21" fillId="0" borderId="34" xfId="0" applyFont="1" applyBorder="1" applyAlignment="1" applyProtection="1">
      <alignment/>
      <protection locked="0"/>
    </xf>
    <xf numFmtId="0" fontId="0" fillId="0" borderId="9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0" fillId="0" borderId="11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0" fillId="0" borderId="5" xfId="0" applyFont="1" applyBorder="1" applyAlignment="1" applyProtection="1">
      <alignment vertical="center"/>
      <protection hidden="1"/>
    </xf>
    <xf numFmtId="0" fontId="32" fillId="0" borderId="5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30" fillId="0" borderId="15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16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9" xfId="0" applyFont="1" applyBorder="1" applyAlignment="1" applyProtection="1">
      <alignment vertical="center"/>
      <protection hidden="1"/>
    </xf>
    <xf numFmtId="0" fontId="32" fillId="0" borderId="9" xfId="0" applyFont="1" applyBorder="1" applyAlignment="1" applyProtection="1">
      <alignment vertical="center"/>
      <protection hidden="1" locked="0"/>
    </xf>
    <xf numFmtId="0" fontId="32" fillId="0" borderId="9" xfId="0" applyFont="1" applyBorder="1" applyAlignment="1" applyProtection="1">
      <alignment horizontal="right" vertical="center"/>
      <protection hidden="1"/>
    </xf>
    <xf numFmtId="0" fontId="32" fillId="0" borderId="14" xfId="0" applyFont="1" applyBorder="1" applyAlignment="1" applyProtection="1">
      <alignment vertical="center"/>
      <protection hidden="1"/>
    </xf>
    <xf numFmtId="0" fontId="32" fillId="0" borderId="1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63" xfId="0" applyFont="1" applyBorder="1" applyAlignment="1" applyProtection="1">
      <alignment horizontal="center" vertical="center" textRotation="180"/>
      <protection hidden="1"/>
    </xf>
    <xf numFmtId="0" fontId="34" fillId="0" borderId="63" xfId="0" applyFont="1" applyBorder="1" applyAlignment="1" applyProtection="1">
      <alignment horizontal="center" vertical="center" textRotation="180"/>
      <protection hidden="1" locked="0"/>
    </xf>
    <xf numFmtId="0" fontId="32" fillId="0" borderId="63" xfId="0" applyFont="1" applyBorder="1" applyAlignment="1" applyProtection="1">
      <alignment horizontal="center" vertical="center"/>
      <protection hidden="1"/>
    </xf>
    <xf numFmtId="0" fontId="34" fillId="0" borderId="39" xfId="0" applyFont="1" applyBorder="1" applyAlignment="1" applyProtection="1">
      <alignment horizontal="center" vertical="center" textRotation="180"/>
      <protection hidden="1"/>
    </xf>
    <xf numFmtId="0" fontId="34" fillId="0" borderId="39" xfId="0" applyFont="1" applyBorder="1" applyAlignment="1" applyProtection="1">
      <alignment horizontal="center" vertical="center" textRotation="180"/>
      <protection hidden="1" locked="0"/>
    </xf>
    <xf numFmtId="0" fontId="32" fillId="0" borderId="39" xfId="0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vertical="center"/>
      <protection hidden="1"/>
    </xf>
    <xf numFmtId="0" fontId="32" fillId="0" borderId="64" xfId="0" applyFont="1" applyBorder="1" applyAlignment="1" applyProtection="1">
      <alignment vertical="center"/>
      <protection hidden="1"/>
    </xf>
    <xf numFmtId="0" fontId="32" fillId="0" borderId="65" xfId="0" applyFont="1" applyBorder="1" applyAlignment="1" applyProtection="1">
      <alignment vertical="center"/>
      <protection hidden="1"/>
    </xf>
    <xf numFmtId="0" fontId="32" fillId="0" borderId="65" xfId="0" applyFont="1" applyBorder="1" applyAlignment="1" applyProtection="1">
      <alignment vertical="center"/>
      <protection hidden="1" locked="0"/>
    </xf>
    <xf numFmtId="0" fontId="32" fillId="0" borderId="0" xfId="0" applyFont="1" applyBorder="1" applyAlignment="1" applyProtection="1">
      <alignment vertical="center"/>
      <protection hidden="1" locked="0"/>
    </xf>
    <xf numFmtId="0" fontId="32" fillId="0" borderId="1" xfId="0" applyFont="1" applyBorder="1" applyAlignment="1" applyProtection="1">
      <alignment vertical="center"/>
      <protection hidden="1"/>
    </xf>
    <xf numFmtId="0" fontId="32" fillId="0" borderId="1" xfId="0" applyFont="1" applyBorder="1" applyAlignment="1" applyProtection="1">
      <alignment vertical="center"/>
      <protection hidden="1" locked="0"/>
    </xf>
    <xf numFmtId="0" fontId="32" fillId="0" borderId="0" xfId="0" applyFont="1" applyAlignment="1" applyProtection="1">
      <alignment vertical="center"/>
      <protection hidden="1" locked="0"/>
    </xf>
    <xf numFmtId="0" fontId="32" fillId="0" borderId="66" xfId="0" applyFont="1" applyBorder="1" applyAlignment="1" applyProtection="1">
      <alignment vertical="center"/>
      <protection hidden="1"/>
    </xf>
    <xf numFmtId="0" fontId="32" fillId="0" borderId="66" xfId="0" applyFont="1" applyBorder="1" applyAlignment="1" applyProtection="1">
      <alignment vertical="center"/>
      <protection hidden="1" locked="0"/>
    </xf>
    <xf numFmtId="0" fontId="32" fillId="0" borderId="67" xfId="0" applyFont="1" applyBorder="1" applyAlignment="1" applyProtection="1">
      <alignment vertical="center"/>
      <protection hidden="1"/>
    </xf>
    <xf numFmtId="0" fontId="32" fillId="0" borderId="67" xfId="0" applyFont="1" applyBorder="1" applyAlignment="1" applyProtection="1">
      <alignment vertical="center"/>
      <protection hidden="1" locked="0"/>
    </xf>
    <xf numFmtId="0" fontId="32" fillId="0" borderId="15" xfId="0" applyFont="1" applyBorder="1" applyAlignment="1" applyProtection="1">
      <alignment vertical="center"/>
      <protection hidden="1"/>
    </xf>
    <xf numFmtId="0" fontId="32" fillId="0" borderId="3" xfId="0" applyFont="1" applyBorder="1" applyAlignment="1" applyProtection="1">
      <alignment vertical="center"/>
      <protection hidden="1"/>
    </xf>
    <xf numFmtId="0" fontId="32" fillId="0" borderId="68" xfId="0" applyFont="1" applyBorder="1" applyAlignment="1" applyProtection="1">
      <alignment vertical="center"/>
      <protection hidden="1"/>
    </xf>
    <xf numFmtId="0" fontId="32" fillId="0" borderId="68" xfId="0" applyFont="1" applyBorder="1" applyAlignment="1" applyProtection="1">
      <alignment vertical="center"/>
      <protection hidden="1" locked="0"/>
    </xf>
    <xf numFmtId="0" fontId="32" fillId="0" borderId="69" xfId="0" applyFont="1" applyBorder="1" applyAlignment="1" applyProtection="1">
      <alignment vertical="center"/>
      <protection hidden="1"/>
    </xf>
    <xf numFmtId="0" fontId="32" fillId="0" borderId="43" xfId="0" applyFont="1" applyBorder="1" applyAlignment="1" applyProtection="1">
      <alignment vertical="center"/>
      <protection hidden="1"/>
    </xf>
    <xf numFmtId="0" fontId="32" fillId="0" borderId="43" xfId="0" applyFont="1" applyBorder="1" applyAlignment="1" applyProtection="1">
      <alignment vertical="center"/>
      <protection hidden="1" locked="0"/>
    </xf>
    <xf numFmtId="0" fontId="32" fillId="0" borderId="70" xfId="0" applyFont="1" applyBorder="1" applyAlignment="1" applyProtection="1">
      <alignment vertical="center"/>
      <protection hidden="1" locked="0"/>
    </xf>
    <xf numFmtId="0" fontId="32" fillId="0" borderId="71" xfId="0" applyFont="1" applyBorder="1" applyAlignment="1" applyProtection="1">
      <alignment vertical="center"/>
      <protection hidden="1"/>
    </xf>
    <xf numFmtId="0" fontId="32" fillId="0" borderId="4" xfId="0" applyFont="1" applyBorder="1" applyAlignment="1" applyProtection="1">
      <alignment vertical="center"/>
      <protection hidden="1"/>
    </xf>
    <xf numFmtId="0" fontId="32" fillId="0" borderId="65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1" fillId="0" borderId="65" xfId="0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31" fillId="0" borderId="5" xfId="0" applyFont="1" applyBorder="1" applyAlignment="1" applyProtection="1">
      <alignment horizontal="center" vertical="center"/>
      <protection hidden="1"/>
    </xf>
    <xf numFmtId="0" fontId="35" fillId="0" borderId="4" xfId="0" applyFont="1" applyBorder="1" applyAlignment="1" applyProtection="1">
      <alignment vertical="center"/>
      <protection hidden="1"/>
    </xf>
    <xf numFmtId="0" fontId="31" fillId="0" borderId="64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vertical="center"/>
      <protection hidden="1" locked="0"/>
    </xf>
    <xf numFmtId="0" fontId="32" fillId="0" borderId="72" xfId="0" applyFont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1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73" xfId="0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75" xfId="0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vertical="center"/>
      <protection hidden="1"/>
    </xf>
    <xf numFmtId="0" fontId="5" fillId="0" borderId="77" xfId="0" applyFont="1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/>
      <protection hidden="1"/>
    </xf>
    <xf numFmtId="9" fontId="0" fillId="0" borderId="0" xfId="19" applyFont="1" applyAlignment="1" applyProtection="1">
      <alignment horizontal="center" vertical="center"/>
      <protection hidden="1"/>
    </xf>
    <xf numFmtId="0" fontId="0" fillId="0" borderId="0" xfId="0" applyFont="1" applyAlignment="1" applyProtection="1" quotePrefix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vertical="center"/>
      <protection hidden="1"/>
    </xf>
    <xf numFmtId="0" fontId="0" fillId="0" borderId="79" xfId="0" applyBorder="1" applyAlignment="1" applyProtection="1">
      <alignment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0" borderId="8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82" xfId="0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left" vertical="center"/>
      <protection hidden="1"/>
    </xf>
    <xf numFmtId="172" fontId="0" fillId="0" borderId="1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172" fontId="0" fillId="0" borderId="25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172" fontId="0" fillId="0" borderId="0" xfId="0" applyNumberFormat="1" applyAlignment="1" applyProtection="1">
      <alignment horizontal="centerContinuous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" fontId="0" fillId="0" borderId="25" xfId="0" applyNumberForma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9" fontId="0" fillId="0" borderId="1" xfId="19" applyNumberFormat="1" applyBorder="1" applyAlignment="1" applyProtection="1">
      <alignment horizontal="center" vertical="center"/>
      <protection hidden="1"/>
    </xf>
    <xf numFmtId="9" fontId="0" fillId="0" borderId="17" xfId="19" applyNumberFormat="1" applyBorder="1" applyAlignment="1" applyProtection="1">
      <alignment horizontal="center" vertical="center"/>
      <protection hidden="1"/>
    </xf>
    <xf numFmtId="9" fontId="0" fillId="0" borderId="25" xfId="19" applyNumberFormat="1" applyBorder="1" applyAlignment="1" applyProtection="1">
      <alignment horizontal="center" vertical="center"/>
      <protection hidden="1"/>
    </xf>
    <xf numFmtId="9" fontId="0" fillId="0" borderId="26" xfId="19" applyNumberFormat="1" applyBorder="1" applyAlignment="1" applyProtection="1">
      <alignment horizontal="center" vertical="center"/>
      <protection hidden="1"/>
    </xf>
    <xf numFmtId="0" fontId="36" fillId="0" borderId="6" xfId="0" applyFont="1" applyBorder="1" applyAlignment="1" applyProtection="1">
      <alignment horizontal="centerContinuous" vertical="center"/>
      <protection hidden="1"/>
    </xf>
    <xf numFmtId="0" fontId="37" fillId="0" borderId="7" xfId="0" applyFont="1" applyBorder="1" applyAlignment="1" applyProtection="1">
      <alignment horizontal="centerContinuous" vertical="center"/>
      <protection hidden="1"/>
    </xf>
    <xf numFmtId="0" fontId="30" fillId="0" borderId="7" xfId="0" applyFont="1" applyBorder="1" applyAlignment="1" applyProtection="1">
      <alignment horizontal="centerContinuous" vertical="center"/>
      <protection hidden="1"/>
    </xf>
    <xf numFmtId="0" fontId="30" fillId="0" borderId="8" xfId="0" applyFont="1" applyBorder="1" applyAlignment="1" applyProtection="1">
      <alignment horizontal="centerContinuous" vertical="center"/>
      <protection hidden="1"/>
    </xf>
    <xf numFmtId="0" fontId="30" fillId="0" borderId="0" xfId="0" applyFont="1" applyAlignment="1">
      <alignment vertical="center"/>
    </xf>
    <xf numFmtId="0" fontId="36" fillId="0" borderId="0" xfId="0" applyFont="1" applyBorder="1" applyAlignment="1" applyProtection="1">
      <alignment horizontal="centerContinuous" vertical="center"/>
      <protection hidden="1"/>
    </xf>
    <xf numFmtId="0" fontId="37" fillId="0" borderId="0" xfId="0" applyFont="1" applyBorder="1" applyAlignment="1" applyProtection="1">
      <alignment horizontal="centerContinuous" vertical="center"/>
      <protection hidden="1"/>
    </xf>
    <xf numFmtId="0" fontId="30" fillId="0" borderId="0" xfId="0" applyFont="1" applyBorder="1" applyAlignment="1" applyProtection="1">
      <alignment horizontal="centerContinuous" vertical="center"/>
      <protection hidden="1"/>
    </xf>
    <xf numFmtId="0" fontId="38" fillId="0" borderId="0" xfId="0" applyFont="1" applyBorder="1" applyAlignment="1" applyProtection="1">
      <alignment horizontal="centerContinuous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0" fillId="0" borderId="0" xfId="0" applyFont="1" applyAlignment="1">
      <alignment horizontal="right" vertical="center"/>
    </xf>
    <xf numFmtId="0" fontId="30" fillId="3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hidden="1"/>
    </xf>
    <xf numFmtId="174" fontId="30" fillId="0" borderId="0" xfId="0" applyNumberFormat="1" applyFont="1" applyFill="1" applyBorder="1" applyAlignment="1" applyProtection="1">
      <alignment horizontal="centerContinuous" vertical="center"/>
      <protection hidden="1"/>
    </xf>
    <xf numFmtId="174" fontId="30" fillId="0" borderId="0" xfId="0" applyNumberFormat="1" applyFont="1" applyAlignment="1" applyProtection="1">
      <alignment horizontal="centerContinuous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40" fillId="0" borderId="16" xfId="0" applyFont="1" applyBorder="1" applyAlignment="1" applyProtection="1">
      <alignment vertical="center"/>
      <protection hidden="1"/>
    </xf>
    <xf numFmtId="0" fontId="30" fillId="0" borderId="9" xfId="0" applyFont="1" applyBorder="1" applyAlignment="1">
      <alignment vertical="center"/>
    </xf>
    <xf numFmtId="0" fontId="30" fillId="2" borderId="68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/>
      <protection hidden="1"/>
    </xf>
    <xf numFmtId="0" fontId="30" fillId="0" borderId="10" xfId="0" applyFont="1" applyBorder="1" applyAlignment="1">
      <alignment vertical="center"/>
    </xf>
    <xf numFmtId="0" fontId="41" fillId="0" borderId="0" xfId="0" applyFont="1" applyBorder="1" applyAlignment="1" applyProtection="1">
      <alignment horizontal="center" vertical="center"/>
      <protection hidden="1"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vertical="center"/>
    </xf>
    <xf numFmtId="0" fontId="30" fillId="4" borderId="83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>
      <alignment vertical="center"/>
    </xf>
    <xf numFmtId="0" fontId="30" fillId="0" borderId="2" xfId="0" applyFont="1" applyBorder="1" applyAlignment="1" applyProtection="1">
      <alignment vertical="center"/>
      <protection hidden="1"/>
    </xf>
    <xf numFmtId="0" fontId="30" fillId="0" borderId="4" xfId="0" applyFont="1" applyBorder="1" applyAlignment="1" applyProtection="1">
      <alignment horizontal="right" vertical="center"/>
      <protection hidden="1"/>
    </xf>
    <xf numFmtId="0" fontId="30" fillId="0" borderId="3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30" fillId="0" borderId="39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30" fillId="0" borderId="2" xfId="0" applyFont="1" applyBorder="1" applyAlignment="1" applyProtection="1">
      <alignment horizontal="center" vertical="center" wrapText="1"/>
      <protection hidden="1"/>
    </xf>
    <xf numFmtId="0" fontId="30" fillId="0" borderId="84" xfId="0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 wrapText="1"/>
    </xf>
    <xf numFmtId="0" fontId="30" fillId="0" borderId="1" xfId="0" applyFont="1" applyBorder="1" applyAlignment="1" applyProtection="1">
      <alignment horizontal="centerContinuous" vertical="center" wrapText="1"/>
      <protection hidden="1"/>
    </xf>
    <xf numFmtId="0" fontId="30" fillId="0" borderId="0" xfId="0" applyFont="1" applyAlignment="1" applyProtection="1">
      <alignment horizontal="centerContinuous" vertical="center" wrapText="1"/>
      <protection hidden="1"/>
    </xf>
    <xf numFmtId="0" fontId="30" fillId="0" borderId="1" xfId="0" applyFont="1" applyBorder="1" applyAlignment="1" applyProtection="1">
      <alignment vertical="center"/>
      <protection hidden="1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30" fillId="0" borderId="2" xfId="0" applyFont="1" applyBorder="1" applyAlignment="1" applyProtection="1">
      <alignment horizontal="center" vertical="center"/>
      <protection hidden="1"/>
    </xf>
    <xf numFmtId="0" fontId="30" fillId="0" borderId="85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/>
      <protection hidden="1"/>
    </xf>
    <xf numFmtId="0" fontId="30" fillId="0" borderId="86" xfId="0" applyFont="1" applyBorder="1" applyAlignment="1" applyProtection="1">
      <alignment horizontal="center" vertical="center"/>
      <protection hidden="1"/>
    </xf>
    <xf numFmtId="0" fontId="30" fillId="0" borderId="87" xfId="0" applyFont="1" applyBorder="1" applyAlignment="1" applyProtection="1">
      <alignment horizontal="center" vertical="center"/>
      <protection hidden="1"/>
    </xf>
    <xf numFmtId="0" fontId="30" fillId="0" borderId="68" xfId="0" applyFont="1" applyBorder="1" applyAlignment="1" applyProtection="1">
      <alignment horizontal="center" vertical="center"/>
      <protection hidden="1"/>
    </xf>
    <xf numFmtId="0" fontId="30" fillId="0" borderId="88" xfId="0" applyFont="1" applyBorder="1" applyAlignment="1" applyProtection="1">
      <alignment horizontal="center" vertical="center"/>
      <protection hidden="1"/>
    </xf>
    <xf numFmtId="0" fontId="30" fillId="0" borderId="89" xfId="0" applyFont="1" applyBorder="1" applyAlignment="1" applyProtection="1">
      <alignment horizontal="center" vertical="center"/>
      <protection hidden="1"/>
    </xf>
    <xf numFmtId="0" fontId="30" fillId="2" borderId="1" xfId="0" applyFont="1" applyFill="1" applyBorder="1" applyAlignment="1" applyProtection="1">
      <alignment vertical="center"/>
      <protection locked="0"/>
    </xf>
    <xf numFmtId="0" fontId="30" fillId="0" borderId="90" xfId="0" applyFont="1" applyFill="1" applyBorder="1" applyAlignment="1" applyProtection="1">
      <alignment horizontal="center" vertical="center"/>
      <protection hidden="1"/>
    </xf>
    <xf numFmtId="0" fontId="30" fillId="0" borderId="90" xfId="0" applyFont="1" applyBorder="1" applyAlignment="1" applyProtection="1">
      <alignment horizontal="center" vertical="center"/>
      <protection hidden="1"/>
    </xf>
    <xf numFmtId="0" fontId="30" fillId="0" borderId="91" xfId="0" applyFont="1" applyBorder="1" applyAlignment="1" applyProtection="1">
      <alignment horizontal="center" vertical="center"/>
      <protection hidden="1"/>
    </xf>
    <xf numFmtId="0" fontId="30" fillId="0" borderId="2" xfId="0" applyFont="1" applyFill="1" applyBorder="1" applyAlignment="1" applyProtection="1">
      <alignment horizontal="center" vertical="center"/>
      <protection hidden="1"/>
    </xf>
    <xf numFmtId="0" fontId="30" fillId="0" borderId="4" xfId="0" applyFont="1" applyFill="1" applyBorder="1" applyAlignment="1" applyProtection="1">
      <alignment horizontal="center" vertical="center"/>
      <protection hidden="1"/>
    </xf>
    <xf numFmtId="0" fontId="30" fillId="0" borderId="4" xfId="0" applyFont="1" applyBorder="1" applyAlignment="1" applyProtection="1">
      <alignment horizontal="center" vertical="center"/>
      <protection hidden="1"/>
    </xf>
    <xf numFmtId="0" fontId="30" fillId="0" borderId="4" xfId="0" applyFont="1" applyBorder="1" applyAlignment="1" applyProtection="1">
      <alignment horizontal="left" vertical="center"/>
      <protection hidden="1"/>
    </xf>
    <xf numFmtId="0" fontId="30" fillId="0" borderId="5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right" vertical="center"/>
      <protection hidden="1"/>
    </xf>
    <xf numFmtId="0" fontId="30" fillId="3" borderId="1" xfId="0" applyFont="1" applyFill="1" applyBorder="1" applyAlignment="1" applyProtection="1">
      <alignment vertical="center"/>
      <protection locked="0"/>
    </xf>
    <xf numFmtId="0" fontId="30" fillId="0" borderId="4" xfId="0" applyFont="1" applyBorder="1" applyAlignment="1" applyProtection="1">
      <alignment horizontal="center" vertical="center" wrapText="1"/>
      <protection hidden="1"/>
    </xf>
    <xf numFmtId="0" fontId="30" fillId="0" borderId="5" xfId="0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0" borderId="4" xfId="0" applyFont="1" applyBorder="1" applyAlignment="1" applyProtection="1">
      <alignment vertical="center"/>
      <protection hidden="1"/>
    </xf>
    <xf numFmtId="0" fontId="30" fillId="0" borderId="5" xfId="0" applyFont="1" applyBorder="1" applyAlignment="1" applyProtection="1" quotePrefix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right" vertical="center"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/>
    </xf>
    <xf numFmtId="0" fontId="32" fillId="0" borderId="14" xfId="0" applyFont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174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85" zoomScaleNormal="85" workbookViewId="0" topLeftCell="A1">
      <selection activeCell="M42" sqref="M42"/>
    </sheetView>
  </sheetViews>
  <sheetFormatPr defaultColWidth="11.421875" defaultRowHeight="12.75"/>
  <cols>
    <col min="1" max="1" width="23.57421875" style="381" customWidth="1"/>
    <col min="2" max="4" width="7.421875" style="381" customWidth="1"/>
    <col min="5" max="5" width="8.8515625" style="381" customWidth="1"/>
    <col min="6" max="6" width="10.28125" style="381" customWidth="1"/>
    <col min="7" max="7" width="11.00390625" style="381" customWidth="1"/>
    <col min="8" max="8" width="11.421875" style="381" customWidth="1"/>
    <col min="9" max="9" width="18.00390625" style="381" customWidth="1"/>
    <col min="10" max="10" width="11.8515625" style="381" customWidth="1"/>
    <col min="11" max="11" width="11.28125" style="381" customWidth="1"/>
    <col min="12" max="16384" width="11.421875" style="381" customWidth="1"/>
  </cols>
  <sheetData>
    <row r="1" spans="1:13" ht="27.75" customHeight="1" thickBot="1" thickTop="1">
      <c r="A1" s="377" t="s">
        <v>316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  <c r="L1" s="379"/>
      <c r="M1" s="380"/>
    </row>
    <row r="2" spans="1:13" ht="13.5" customHeight="1" thickTop="1">
      <c r="A2" s="382"/>
      <c r="B2" s="383"/>
      <c r="C2" s="383"/>
      <c r="D2" s="383"/>
      <c r="E2" s="383"/>
      <c r="F2" s="383"/>
      <c r="G2" s="383"/>
      <c r="H2" s="383"/>
      <c r="I2" s="383"/>
      <c r="J2" s="383"/>
      <c r="K2" s="384"/>
      <c r="L2" s="384"/>
      <c r="M2" s="384"/>
    </row>
    <row r="3" spans="1:13" ht="13.5" customHeight="1">
      <c r="A3" s="385" t="s">
        <v>318</v>
      </c>
      <c r="B3" s="383"/>
      <c r="C3" s="383"/>
      <c r="D3" s="383"/>
      <c r="E3" s="383"/>
      <c r="F3" s="383"/>
      <c r="G3" s="383"/>
      <c r="H3" s="383"/>
      <c r="I3" s="383"/>
      <c r="J3" s="383"/>
      <c r="K3" s="384"/>
      <c r="L3" s="384"/>
      <c r="M3" s="384"/>
    </row>
    <row r="4" spans="1:12" ht="13.5" customHeight="1">
      <c r="A4" s="386"/>
      <c r="B4" s="232"/>
      <c r="C4" s="232"/>
      <c r="D4" s="232"/>
      <c r="E4" s="232"/>
      <c r="F4" s="232"/>
      <c r="G4" s="232"/>
      <c r="H4" s="232"/>
      <c r="I4" s="232"/>
      <c r="L4" s="387"/>
    </row>
    <row r="5" spans="1:9" ht="13.5" customHeight="1" thickBot="1">
      <c r="A5" s="232" t="s">
        <v>1</v>
      </c>
      <c r="B5" s="388"/>
      <c r="D5" s="232"/>
      <c r="E5" s="389" t="s">
        <v>209</v>
      </c>
      <c r="F5" s="390">
        <f ca="1">TODAY()</f>
        <v>38158</v>
      </c>
      <c r="G5" s="391"/>
      <c r="H5" s="389" t="s">
        <v>210</v>
      </c>
      <c r="I5" s="459">
        <v>37712</v>
      </c>
    </row>
    <row r="6" spans="1:13" ht="15">
      <c r="A6" s="232" t="s">
        <v>0</v>
      </c>
      <c r="B6" s="232"/>
      <c r="C6" s="232"/>
      <c r="D6" s="232"/>
      <c r="E6" s="232"/>
      <c r="F6" s="232"/>
      <c r="G6" s="232"/>
      <c r="H6" s="232"/>
      <c r="I6" s="392"/>
      <c r="K6" s="393" t="s">
        <v>275</v>
      </c>
      <c r="L6" s="394"/>
      <c r="M6" s="457" t="s">
        <v>276</v>
      </c>
    </row>
    <row r="7" spans="1:13" ht="15.75" thickBot="1">
      <c r="A7" s="232"/>
      <c r="B7" s="232"/>
      <c r="C7" s="232"/>
      <c r="D7" s="232"/>
      <c r="E7" s="232" t="s">
        <v>42</v>
      </c>
      <c r="F7" s="232"/>
      <c r="G7" s="232" t="s">
        <v>43</v>
      </c>
      <c r="H7" s="395">
        <v>10</v>
      </c>
      <c r="I7" s="389" t="str">
        <f>LOOKUP(H7,Données!A36:B43)</f>
        <v>0.9   1.1</v>
      </c>
      <c r="J7" s="396" t="s">
        <v>166</v>
      </c>
      <c r="K7" s="397"/>
      <c r="L7" s="398" t="s">
        <v>272</v>
      </c>
      <c r="M7" s="234"/>
    </row>
    <row r="8" spans="1:13" ht="15.75" thickBot="1">
      <c r="A8" s="389" t="s">
        <v>2</v>
      </c>
      <c r="B8" s="399"/>
      <c r="C8" s="232"/>
      <c r="D8" s="232"/>
      <c r="E8" s="232"/>
      <c r="F8" s="232"/>
      <c r="G8" s="232"/>
      <c r="H8" s="400"/>
      <c r="I8" s="232" t="s">
        <v>309</v>
      </c>
      <c r="J8" s="400">
        <v>1</v>
      </c>
      <c r="K8" s="401"/>
      <c r="L8" s="402" t="s">
        <v>273</v>
      </c>
      <c r="M8" s="239"/>
    </row>
    <row r="9" spans="1:13" s="406" customFormat="1" ht="15">
      <c r="A9" s="403"/>
      <c r="B9" s="404"/>
      <c r="C9" s="403"/>
      <c r="D9" s="403"/>
      <c r="E9" s="404"/>
      <c r="F9" s="403"/>
      <c r="G9" s="403" t="s">
        <v>44</v>
      </c>
      <c r="H9" s="400">
        <v>10</v>
      </c>
      <c r="I9" s="232" t="str">
        <f>LOOKUP(H9,Atmosphére_planétaire)</f>
        <v>Pression normale</v>
      </c>
      <c r="J9" s="405"/>
      <c r="K9" s="403"/>
      <c r="L9" s="403"/>
      <c r="M9" s="403"/>
    </row>
    <row r="10" spans="1:13" ht="15">
      <c r="A10" s="389" t="s">
        <v>52</v>
      </c>
      <c r="B10" s="232">
        <f>18+E33</f>
        <v>18</v>
      </c>
      <c r="C10" s="232" t="s">
        <v>53</v>
      </c>
      <c r="D10" s="232"/>
      <c r="E10" s="232"/>
      <c r="F10" s="232"/>
      <c r="G10" s="232" t="s">
        <v>45</v>
      </c>
      <c r="H10" s="400">
        <v>15</v>
      </c>
      <c r="I10" s="389" t="s">
        <v>163</v>
      </c>
      <c r="J10" s="392">
        <f>LOOKUP(H10,Données!A58:B76)</f>
        <v>1</v>
      </c>
      <c r="K10" s="232" t="str">
        <f>LOOKUP(H10,Données!A58:C76)</f>
        <v>Standard</v>
      </c>
      <c r="L10" s="232"/>
      <c r="M10" s="232"/>
    </row>
    <row r="11" spans="1:13" ht="15">
      <c r="A11" s="232"/>
      <c r="B11" s="389" t="s">
        <v>198</v>
      </c>
      <c r="C11" s="232">
        <f>LOOKUP(L25,Données!A80:C89)</f>
        <v>100</v>
      </c>
      <c r="D11" s="232" t="s">
        <v>206</v>
      </c>
      <c r="E11" s="232"/>
      <c r="F11" s="232"/>
      <c r="G11" s="232"/>
      <c r="H11" s="400"/>
      <c r="I11" s="232"/>
      <c r="J11" s="232"/>
      <c r="K11" s="232"/>
      <c r="L11" s="232"/>
      <c r="M11" s="232"/>
    </row>
    <row r="12" spans="1:14" ht="18.75" thickBot="1">
      <c r="A12" s="407"/>
      <c r="B12" s="408" t="s">
        <v>17</v>
      </c>
      <c r="C12" s="409"/>
      <c r="D12" s="410" t="str">
        <f>IF(C13&lt;0,"Vous avez trop depenser de point pour augmenter vos tirages"," ")</f>
        <v> </v>
      </c>
      <c r="E12" s="411" t="str">
        <f>IF(MAX(B14:B27)&gt;100,"Tirage superieur à 100"," ")</f>
        <v> </v>
      </c>
      <c r="F12" s="412" t="str">
        <f>IF(L8="OUI",IF(OR(B24+C24&gt;115,C24&gt;15,AND(B24&gt;95,OR(L25="Humain",L25="Felin",L25="Transhumain")))," ","Augmentation des potentiels psionniques pas autorisé")," ")</f>
        <v> </v>
      </c>
      <c r="G12" s="232"/>
      <c r="H12" s="232"/>
      <c r="I12" s="232"/>
      <c r="J12" s="232"/>
      <c r="K12" s="232"/>
      <c r="L12" s="232"/>
      <c r="M12" s="232"/>
      <c r="N12" s="458"/>
    </row>
    <row r="13" spans="1:13" s="419" customFormat="1" ht="28.5" customHeight="1">
      <c r="A13" s="413" t="s">
        <v>274</v>
      </c>
      <c r="B13" s="413" t="s">
        <v>204</v>
      </c>
      <c r="C13" s="414">
        <f>IF(B35="Astronaute",5,0)+IF(B35="Combattant",5,0)+(35-SUM(C14:C27))</f>
        <v>40</v>
      </c>
      <c r="D13" s="413" t="s">
        <v>39</v>
      </c>
      <c r="E13" s="415" t="s">
        <v>205</v>
      </c>
      <c r="F13" s="416" t="s">
        <v>40</v>
      </c>
      <c r="G13" s="413" t="s">
        <v>41</v>
      </c>
      <c r="H13" s="417" t="s">
        <v>46</v>
      </c>
      <c r="I13" s="418" t="s">
        <v>26</v>
      </c>
      <c r="K13" s="420" t="s">
        <v>207</v>
      </c>
      <c r="L13" s="420"/>
      <c r="M13" s="421" t="s">
        <v>208</v>
      </c>
    </row>
    <row r="14" spans="1:13" ht="15">
      <c r="A14" s="422" t="s">
        <v>3</v>
      </c>
      <c r="B14" s="423">
        <v>50</v>
      </c>
      <c r="C14" s="423">
        <v>0</v>
      </c>
      <c r="D14" s="424">
        <f aca="true" t="shared" si="0" ref="D14:D19">IF((B14+C14)&gt;105,"Erreur",(B14+C14))</f>
        <v>50</v>
      </c>
      <c r="E14" s="425">
        <f>LOOKUP(F14+1,Données!$A$15:$B$33)</f>
        <v>61</v>
      </c>
      <c r="F14" s="424">
        <f>IF(D14=1,1,0)+IF(AND(D14&gt;=2,D14&lt;=3),2,0)+IF(AND(D14&gt;=4,D14&lt;=5),3,0)+IF(AND(D14&gt;=6,D14&lt;=7),4,0)+IF(AND(D14&gt;=8,D14&lt;=9),5,0)+IF(AND(D14&gt;=10,D14&lt;=11),6,0)+IF(AND(D14&gt;=12,D14&lt;=13),7,0)+IF(AND(D14&gt;=14,D14&lt;=15),8,0)+IF(AND(D14&gt;=16,D14&lt;=20),9,0)+IF(AND(D14&gt;=19,D14&lt;=25),10,0)+IF(AND(D14&gt;=26,D14&lt;=35),11,0)+IF(AND(D14&gt;=36,D14&lt;=45),12,0)+IF(AND(D14&gt;=46,D14&lt;=60),13,0)+IF(AND(D14&gt;=61,D14&lt;=75),14,0)+IF(AND(D14&gt;=76,D14&lt;=85),15,0)+IF(AND(D14&gt;=86,D14&lt;=90),16,0)+IF(AND(D14&gt;=91,D14&lt;=95),17,0)+IF(AND(D14&gt;=96,D14&lt;=100),18,0)+IF((D14&gt;=105),19,0)</f>
        <v>13</v>
      </c>
      <c r="G14" s="424">
        <f>LOOKUP(H7,Données!A37:C43)</f>
        <v>0</v>
      </c>
      <c r="H14" s="426">
        <f>IF(H7=1,12,IF(AND(H7&gt;=2,H7&lt;=3),11,IF(AND(H7&gt;=4,H7&lt;=9),10,0)))</f>
        <v>0</v>
      </c>
      <c r="I14" s="427">
        <f aca="true" t="shared" si="1" ref="I14:I21">IF(G14+F14&lt;H14,H14,G14+F14)</f>
        <v>13</v>
      </c>
      <c r="J14" s="232"/>
      <c r="K14" s="424" t="str">
        <f>IF(AND(J10&lt;=9,H7&gt;=4,H7&lt;=17),"OUI","non")</f>
        <v>OUI</v>
      </c>
      <c r="L14" s="428" t="str">
        <f>IF(K14="OUI","Avien"," ")</f>
        <v>Avien</v>
      </c>
      <c r="M14" s="232"/>
    </row>
    <row r="15" spans="1:13" ht="15">
      <c r="A15" s="422" t="s">
        <v>4</v>
      </c>
      <c r="B15" s="423">
        <v>50</v>
      </c>
      <c r="C15" s="423">
        <v>0</v>
      </c>
      <c r="D15" s="424">
        <f t="shared" si="0"/>
        <v>50</v>
      </c>
      <c r="E15" s="425">
        <f>LOOKUP(F15+1,Données!$A$15:$B$33)</f>
        <v>61</v>
      </c>
      <c r="F15" s="424">
        <f>IF(D15=1,1,0)+IF(AND(D15&gt;=2,D15&lt;=3),2,0)+IF(AND(D15&gt;=4,D15&lt;=5),3,0)+IF(AND(D15&gt;=6,D15&lt;=7),4,0)+IF(AND(D15&gt;=8,D15&lt;=9),5,0)+IF(AND(D15&gt;=10,D15&lt;=11),6,0)+IF(AND(D15&gt;=12,D15&lt;=13),7,0)+IF(AND(D15&gt;=14,D15&lt;=15),8,0)+IF(AND(D15&gt;=16,D15&lt;=20),9,0)+IF(AND(D15&gt;=19,D15&lt;=25),10,0)+IF(AND(D15&gt;=26,D15&lt;=35),11,0)+IF(AND(D15&gt;=36,D15&lt;=45),12,0)+IF(AND(D15&gt;=46,D15&lt;=60),13,0)+IF(AND(D15&gt;=61,D15&lt;=75),14,0)+IF(AND(D15&gt;=76,D15&lt;=85),15,0)+IF(AND(D15&gt;=86,D15&lt;=90),16,0)+IF(AND(D15&gt;=91,D15&lt;=95),17,0)+IF(AND(D15&gt;=96,D15&lt;=100),18,0)+IF((D15&gt;=105),19,0)</f>
        <v>13</v>
      </c>
      <c r="G15" s="424">
        <f>IF(AND($H$7&gt;=10,$H$7&lt;=16),IF($H$8&gt;=50,1,0))+IF(AND($H$7&gt;=17,$H$7&lt;=18),1,0)+IF($H$7=19,2,0)+IF($H$7=20,2,0)</f>
        <v>0</v>
      </c>
      <c r="H15" s="429"/>
      <c r="I15" s="427">
        <f t="shared" si="1"/>
        <v>13</v>
      </c>
      <c r="J15" s="232"/>
      <c r="K15" s="424" t="str">
        <f>IF(AND(For&gt;9,con&gt;9,cou&gt;12,ag&gt;11,gta&lt;15,ea&lt;15,ma&lt;15),"OUI","non")</f>
        <v>OUI</v>
      </c>
      <c r="L15" s="428" t="str">
        <f>IF(K15="OUI","Canin"," ")</f>
        <v>Canin</v>
      </c>
      <c r="M15" s="232"/>
    </row>
    <row r="16" spans="1:13" ht="15">
      <c r="A16" s="422" t="s">
        <v>5</v>
      </c>
      <c r="B16" s="423">
        <v>55</v>
      </c>
      <c r="C16" s="423">
        <v>0</v>
      </c>
      <c r="D16" s="424">
        <f t="shared" si="0"/>
        <v>55</v>
      </c>
      <c r="E16" s="425">
        <f>LOOKUP(F16+1,Données!$A$15:$B$33)</f>
        <v>61</v>
      </c>
      <c r="F16" s="424">
        <f>IF(D16=1,1,0)+IF(AND(D16&gt;=2,D16&lt;=3),2,0)+IF(AND(D16&gt;=4,D16&lt;=5),3,0)+IF(AND(D16&gt;=6,D16&lt;=7),4,0)+IF(AND(D16&gt;=8,D16&lt;=9),5,0)+IF(AND(D16&gt;=10,D16&lt;=11),6,0)+IF(AND(D16&gt;=12,D16&lt;=13),7,0)+IF(AND(D16&gt;=14,D16&lt;=15),8,0)+IF(AND(D16&gt;=16,D16&lt;=20),9,0)+IF(AND(D16&gt;=19,D16&lt;=25),10,0)+IF(AND(D16&gt;=26,D16&lt;=35),11,0)+IF(AND(D16&gt;=36,D16&lt;=45),12,0)+IF(AND(D16&gt;=46,D16&lt;=60),13,0)+IF(AND(D16&gt;=61,D16&lt;=75),14,0)+IF(AND(D16&gt;=76,D16&lt;=85),15,0)+IF(AND(D16&gt;=86,D16&lt;=90),16,0)+IF(AND(D16&gt;=91,D16&lt;=95),17,0)+IF(AND(D16&gt;=96,D16&lt;=100),18,0)+IF((D16&gt;=105),19,0)</f>
        <v>13</v>
      </c>
      <c r="G16" s="424">
        <f>IF(AND($H$7&gt;=10,$H$7&lt;=16),IF($H$8&gt;=50,1,0))+IF(AND($H$7&gt;=17,$H$7&lt;=18),1,0)+IF($H$7=19,2,0)+IF($H$7=20,2,0)+IF('Tirage initial'!H11/100&lt;LOOKUP(H10,Données!A59:E76),1,0)</f>
        <v>0</v>
      </c>
      <c r="H16" s="426">
        <f>LOOKUP(H10,Données!A59:H76)</f>
        <v>0</v>
      </c>
      <c r="I16" s="427">
        <f t="shared" si="1"/>
        <v>13</v>
      </c>
      <c r="J16" s="232"/>
      <c r="K16" s="424" t="str">
        <f>IF(AND(con&gt;10,For&gt;10,int&gt;10,de&gt;12,ag&gt;15,ma&gt;12,ea&gt;12,gta&gt;12),"OUI","non")</f>
        <v>non</v>
      </c>
      <c r="L16" s="428" t="str">
        <f>IF(K16="OUI","Felin"," ")</f>
        <v> </v>
      </c>
      <c r="M16" s="232"/>
    </row>
    <row r="17" spans="1:13" ht="15">
      <c r="A17" s="422" t="s">
        <v>6</v>
      </c>
      <c r="B17" s="423">
        <v>55</v>
      </c>
      <c r="C17" s="423">
        <v>0</v>
      </c>
      <c r="D17" s="424">
        <f t="shared" si="0"/>
        <v>55</v>
      </c>
      <c r="E17" s="425">
        <f>LOOKUP(F17+1,Données!$C$15:$D$33)</f>
        <v>55</v>
      </c>
      <c r="F17" s="424">
        <f>IF(D17=1,1,0)+IF(AND(D17&gt;=2,D17&lt;=3),2,0)+IF(AND(D17&gt;=4,D17&lt;=5),3,0)+IF(AND(D17&gt;=6,D17&lt;=7),4,0)+IF(AND(D17&gt;=8,D17&lt;=9),5,0)+IF(AND(D17&gt;=10,D17&lt;=11),6,0)+IF(AND(D17&gt;=12,D17&lt;=13),7,0)+IF(AND(D17&gt;=14,D17&lt;=15),8,0)+IF(AND(D17&gt;=16,D17&lt;=20),9,0)+IF(AND(D17&gt;=21,D17&lt;=27),10,0)+IF(AND(D17&gt;=28,D17&lt;=40),11,0)+IF(AND(D17&gt;=41,D17&lt;=55),12,0)+IF(AND(D17&gt;=56,D17&lt;=65),13,0)+IF(AND(D17&gt;=66,D17&lt;=80),14,0)+IF(AND(D17&gt;=81,D17&lt;=90),15,0)+IF(AND(D17&gt;=91,D17&lt;=95),16,0)+IF(AND(D17&gt;=96,D17&lt;=98),17,0)+IF(AND(D17&gt;=99,D17&lt;=100),18,0)+IF((D17&gt;=105),19,0)</f>
        <v>12</v>
      </c>
      <c r="G17" s="424">
        <f>IF($H$7=19,IF($H$8&lt;=50,1,))+IF($H$7=20,IF($H$8&lt;=50,1,),0)</f>
        <v>0</v>
      </c>
      <c r="H17" s="426">
        <f>IF(AND(H7&gt;=17,H7&lt;=18),10,IF(H7=19,11,IF(H7=20,13,)))</f>
        <v>0</v>
      </c>
      <c r="I17" s="427">
        <f t="shared" si="1"/>
        <v>12</v>
      </c>
      <c r="J17" s="232"/>
      <c r="K17" s="424" t="str">
        <f>IF(AND(phy&gt;0,For&gt;0,con&gt;0,int&gt;0,rel&gt;0),"OUI","non")</f>
        <v>OUI</v>
      </c>
      <c r="L17" s="428" t="str">
        <f>IF(K17="OUI","Humain","")</f>
        <v>Humain</v>
      </c>
      <c r="M17" s="232"/>
    </row>
    <row r="18" spans="1:13" ht="15">
      <c r="A18" s="422" t="s">
        <v>7</v>
      </c>
      <c r="B18" s="423">
        <v>55</v>
      </c>
      <c r="C18" s="423">
        <v>0</v>
      </c>
      <c r="D18" s="424">
        <f t="shared" si="0"/>
        <v>55</v>
      </c>
      <c r="E18" s="425">
        <f>LOOKUP(F18+1,Données!$C$15:$D$33)</f>
        <v>55</v>
      </c>
      <c r="F18" s="424">
        <f>IF(D18=1,1,0)+IF(AND(D18&gt;=2,D18&lt;=3),2,0)+IF(AND(D18&gt;=4,D18&lt;=5),3,0)+IF(AND(D18&gt;=6,D18&lt;=7),4,0)+IF(AND(D18&gt;=8,D18&lt;=9),5,0)+IF(AND(D18&gt;=10,D18&lt;=11),6,0)+IF(AND(D18&gt;=12,D18&lt;=13),7,0)+IF(AND(D18&gt;=14,D18&lt;=15),8,0)+IF(AND(D18&gt;=16,D18&lt;=20),9,0)+IF(AND(D18&gt;=21,D18&lt;=27),10,0)+IF(AND(D18&gt;=28,D18&lt;=40),11,0)+IF(AND(D18&gt;=41,D18&lt;=55),12,0)+IF(AND(D18&gt;=56,D18&lt;=65),13,0)+IF(AND(D18&gt;=66,D18&lt;=80),14,0)+IF(AND(D18&gt;=81,D18&lt;=90),15,0)+IF(AND(D18&gt;=91,D18&lt;=95),16,0)+IF(AND(D18&gt;=96,D18&lt;=98),17,0)+IF(AND(D18&gt;=99,D18&lt;=100),18,0)+IF((D18&gt;=105),19,0)</f>
        <v>12</v>
      </c>
      <c r="G18" s="430"/>
      <c r="H18" s="426">
        <f>VLOOKUP(H7,Données!A37:I43,8,FALSE)</f>
        <v>0</v>
      </c>
      <c r="I18" s="427">
        <f t="shared" si="1"/>
        <v>12</v>
      </c>
      <c r="J18" s="232"/>
      <c r="K18" s="424" t="str">
        <f>K17</f>
        <v>OUI</v>
      </c>
      <c r="L18" s="428" t="str">
        <f>IF(K18="OUI","Humanoide"," ")</f>
        <v>Humanoide</v>
      </c>
      <c r="M18" s="232"/>
    </row>
    <row r="19" spans="1:13" ht="15">
      <c r="A19" s="422" t="s">
        <v>9</v>
      </c>
      <c r="B19" s="423">
        <v>55</v>
      </c>
      <c r="C19" s="423">
        <v>0</v>
      </c>
      <c r="D19" s="424">
        <f t="shared" si="0"/>
        <v>55</v>
      </c>
      <c r="E19" s="425">
        <f>LOOKUP(F19+1,Données!$E$15:$F$33)</f>
        <v>66</v>
      </c>
      <c r="F19" s="424">
        <f>IF(D19=1,1,0)+IF(AND(D19&gt;=2,D19&lt;=3),2,0)+IF(AND(D19&gt;=4,D19&lt;=5),3,0)+IF(AND(D19&gt;=6,D19&lt;=9),4,0)+IF(AND(D19&gt;=10,D19&lt;=11),5,0)+IF(AND(D19&gt;=12,D19&lt;=15),6,0)+IF(AND(D19&gt;=16,D19&lt;=19),7,0)+IF(AND(D19&gt;=20,D19&lt;=25),8,0)+IF(AND(D19&gt;=26,D19&lt;=30),9,0)+IF(AND(D19&gt;=31,D19&lt;=35),10,0)+IF(AND(D19&gt;=36,D19&lt;=50),11,0)+IF(AND(D19&gt;=51,D19&lt;=65),12,0)+IF(AND(D19&gt;=66,D19&lt;=75),13,0)+IF(AND(D19&gt;=76,D19&lt;=80),14,0)+IF(AND(D19&gt;=81,D19&lt;=85),15,0)+IF(AND(D19&gt;=86,D19&lt;=90),16,0)+IF(AND(D19&gt;=91,D19&lt;=95),17,0)+IF(AND(D19&gt;=96,D19&lt;=100),18,0)+IF((D19&gt;=105),19,0)</f>
        <v>12</v>
      </c>
      <c r="G19" s="431">
        <f>IF(AND(H10=97,H11&lt;50),1,0)</f>
        <v>0</v>
      </c>
      <c r="H19" s="429"/>
      <c r="I19" s="427">
        <f t="shared" si="1"/>
        <v>12</v>
      </c>
      <c r="J19" s="232"/>
      <c r="K19" s="424" t="str">
        <f>IF(AND(For&gt;14,con&gt;14,int&lt;18,gta&lt;15,ma&lt;15,ea&lt;15),"OUI","non")</f>
        <v>non</v>
      </c>
      <c r="L19" s="428" t="str">
        <f>IF(K19="OUI","Singe"," ")</f>
        <v> </v>
      </c>
      <c r="M19" s="232"/>
    </row>
    <row r="20" spans="1:13" ht="15">
      <c r="A20" s="422" t="s">
        <v>8</v>
      </c>
      <c r="B20" s="423">
        <v>55</v>
      </c>
      <c r="C20" s="423">
        <v>0</v>
      </c>
      <c r="D20" s="424">
        <f>IF((B20+C20)&gt;115,"Erreur",(B20+C20))</f>
        <v>55</v>
      </c>
      <c r="E20" s="425">
        <f>LOOKUP(F20+1,Données!G15:H33)</f>
        <v>61</v>
      </c>
      <c r="F20" s="426">
        <f>IF(AND(D20&gt;=1,D20&lt;=5),1,0)+IF(AND(D20&gt;=6,D20&lt;=10),2,0)+IF(AND(D20&gt;=11,D20&lt;=15),3,0)+IF(AND(D20&gt;=16,D20&lt;=20),4,0)+IF(AND(D20&gt;=21,D20&lt;=25),5,0)+IF(AND(D20&gt;=26,D20&lt;=30),6,0)+IF(AND(D20&gt;=31,D20&lt;=35),7,0)+IF(AND(D20&gt;=36,D20&lt;=40),8,0)+IF(AND(D20&gt;=41,D20&lt;=50),9,0)+IF(AND(D20&gt;=51,D20&lt;=60),10,0)+IF(AND(D20&gt;=61,D20&lt;=75),11,0)+IF(AND(D20&gt;=76,D20&lt;=80),12,0)+IF(AND(D20&gt;=81,D20&lt;=85),13,0)+IF(AND(D20&gt;=86,D20&lt;=90),14,0)+IF(AND(D20&gt;=91,D20&lt;=95),15,0)+IF(AND(D20&gt;=96,D20&lt;=104),16,0)+IF(AND(D20&gt;=105,D20&lt;=109),17,0)+IF(AND(D20&gt;=110,D20&lt;=114),18,0)+IF((D20=115),19,0)</f>
        <v>10</v>
      </c>
      <c r="G20" s="424">
        <f>IF(H10=97,1,)</f>
        <v>0</v>
      </c>
      <c r="H20" s="432"/>
      <c r="I20" s="427">
        <f t="shared" si="1"/>
        <v>10</v>
      </c>
      <c r="J20" s="232"/>
      <c r="K20" s="424" t="str">
        <f>IF(AND(For&gt;13,con&gt;13,int&lt;17,rel&lt;13),"OUI","non")</f>
        <v>non</v>
      </c>
      <c r="L20" s="428">
        <f>IF(K20="OUI","Saurien","")</f>
      </c>
      <c r="M20" s="232"/>
    </row>
    <row r="21" spans="1:13" ht="15">
      <c r="A21" s="422" t="s">
        <v>10</v>
      </c>
      <c r="B21" s="423">
        <v>55</v>
      </c>
      <c r="C21" s="423">
        <v>0</v>
      </c>
      <c r="D21" s="424">
        <f>IF((B21+C21)&gt;105,"Erreur",(B21+C21))</f>
        <v>55</v>
      </c>
      <c r="E21" s="425">
        <f>LOOKUP(F21+1,Données!I15:J33)</f>
        <v>55</v>
      </c>
      <c r="F21" s="424">
        <f>IF(D21=1,1,0)+IF(AND(D21&gt;=2,D21&lt;=3),2,0)+IF(AND(D21&gt;=4,D21&lt;=6),3,0)+IF(AND(D21&gt;=7,D21&lt;=8),4,0)+IF(AND(D21&gt;=9,D21&lt;=10),5,0)+IF(AND(D21&gt;=11,D21&lt;=12),6,0)+IF(AND(D21&gt;=13,D21&lt;=15),7,0)+IF(AND(D20&gt;=14,D21&lt;=18),8,0)+IF(AND(D21&gt;=19,D21&lt;=21),9,0)+IF(AND(D21&gt;=22,D21&lt;=24),10,0)+IF(AND(D21&gt;=25,D21&lt;=30),11,0)+IF(AND(D21&gt;=31,D21&lt;=40),12,0)+IF(AND(D21&gt;=41,D21&lt;=55),13,0)+IF(AND(D21&gt;=56,D21&lt;=70),14,0)+IF(AND(D21&gt;=71,D21&lt;=80),15,0)+IF(AND(D21&gt;=81,D21&lt;=85),16,0)+IF(AND(D21&gt;=86,D21&lt;=90),17,0)+IF(AND(D21&gt;=91,D21&lt;=95),18,0)+IF(AND(D21&gt;=96,D21&lt;=100),19,0)</f>
        <v>13</v>
      </c>
      <c r="G21" s="433"/>
      <c r="H21" s="429"/>
      <c r="I21" s="427">
        <f t="shared" si="1"/>
        <v>13</v>
      </c>
      <c r="J21" s="232"/>
      <c r="K21" s="424" t="str">
        <f>IF(AND(For&gt;14,con&gt;14,ag&gt;13,de&gt;15,int&gt;14,cou&gt;13,com&gt;14),"OUI","non")</f>
        <v>non</v>
      </c>
      <c r="L21" s="428">
        <f>IF(K21="OUI","Transhumain","")</f>
      </c>
      <c r="M21" s="232"/>
    </row>
    <row r="22" spans="1:13" ht="15">
      <c r="A22" s="422" t="s">
        <v>11</v>
      </c>
      <c r="B22" s="423">
        <v>55</v>
      </c>
      <c r="C22" s="423">
        <v>0</v>
      </c>
      <c r="D22" s="424">
        <f>IF((B22+C22)&gt;105,"Erreur",(B22+C22))</f>
        <v>55</v>
      </c>
      <c r="E22" s="425">
        <f>LOOKUP(F22+1,Données!I15:J33)</f>
        <v>55</v>
      </c>
      <c r="F22" s="424">
        <f>IF(D22=1,1,0)+IF(AND(D22&gt;=2,D22&lt;=3),2,0)+IF(AND(D22&gt;=4,D22&lt;=6),3,0)+IF(AND(D22&gt;=7,D22&lt;=8),4,0)+IF(AND(D22&gt;=9,D22&lt;=10),5,0)+IF(AND(D22&gt;=11,D22&lt;=12),6,0)+IF(AND(D22&gt;=13,D22&lt;=15),7,0)+IF(AND(D21&gt;=14,D22&lt;=18),8,0)+IF(AND(D22&gt;=19,D22&lt;=21),9,0)+IF(AND(D22&gt;=22,D22&lt;=24),10,0)+IF(AND(D22&gt;=25,D22&lt;=30),11,0)+IF(AND(D22&gt;=31,D22&lt;=40),12,0)+IF(AND(D22&gt;=41,D22&lt;=55),13,0)+IF(AND(D22&gt;=56,D22&lt;=70),14,0)+IF(AND(D22&gt;=71,D22&lt;=80),15,0)+IF(AND(D22&gt;=81,D22&lt;=85),16,0)+IF(AND(D22&gt;=86,D22&lt;=90),17,0)+IF(AND(D22&gt;=91,D22&lt;=95),18,0)+IF(AND(D22&gt;=96,D22&lt;=100),19,0)</f>
        <v>13</v>
      </c>
      <c r="G22" s="430"/>
      <c r="H22" s="429"/>
      <c r="I22" s="427">
        <f>IF(AND(K22="OUI",L25="Oursoide"),IF(F22&lt;13,13,F22),F22)</f>
        <v>13</v>
      </c>
      <c r="J22" s="232"/>
      <c r="K22" s="424" t="str">
        <f>IF(AND(For&gt;15,con&gt;14,int&lt;16,gta&lt;15,ma&lt;15,ea&lt;15),"OUI","non")</f>
        <v>non</v>
      </c>
      <c r="L22" s="428" t="str">
        <f>IF(K22="OUI","Oursoide"," ")</f>
        <v> </v>
      </c>
      <c r="M22" s="232"/>
    </row>
    <row r="23" spans="1:13" ht="15">
      <c r="A23" s="422" t="s">
        <v>12</v>
      </c>
      <c r="B23" s="423">
        <v>55</v>
      </c>
      <c r="C23" s="423">
        <v>0</v>
      </c>
      <c r="D23" s="424">
        <f>IF((B23+C23)&gt;105,"Erreur",(B23+C23))</f>
        <v>55</v>
      </c>
      <c r="E23" s="425">
        <f>LOOKUP(F23+1,Données!$E$15:$F$33)</f>
        <v>66</v>
      </c>
      <c r="F23" s="424">
        <f>IF(D23=1,1,0)+IF(AND(D23&gt;=2,D23&lt;=3),2,0)+IF(AND(D23&gt;=4,D23&lt;=5),3,0)+IF(AND(D23&gt;=6,D23&lt;=9),4,0)+IF(AND(D23&gt;=10,D23&lt;=11),5,0)+IF(AND(D23&gt;=12,D23&lt;=15),6,0)+IF(AND(D23&gt;=16,D23&lt;=19),7,0)+IF(AND(D23&gt;=20,D23&lt;=25),8,0)+IF(AND(D23&gt;=26,D23&lt;=30),9,0)+IF(AND(D23&gt;=31,D23&lt;=35),10,0)+IF(AND(D23&gt;=36,D23&lt;=50),11,0)+IF(AND(D23&gt;=51,D23&lt;=65),12,0)+IF(AND(D23&gt;=66,D23&lt;=75),13,0)+IF(AND(D23&gt;=76,D23&lt;=80),14,0)+IF(AND(D23&gt;=81,D23&lt;=85),15,0)+IF(AND(D23&gt;=86,D23&lt;=90),16,0)+IF(AND(D23&gt;=91,D23&lt;=95),17,0)+IF(AND(D23&gt;=96,D23&lt;=100),18,0)+IF((D23&gt;=105),19,0)</f>
        <v>12</v>
      </c>
      <c r="G23" s="430"/>
      <c r="H23" s="429"/>
      <c r="I23" s="427">
        <f aca="true" t="shared" si="2" ref="I23:I28">F23</f>
        <v>12</v>
      </c>
      <c r="J23" s="232"/>
      <c r="K23" s="232"/>
      <c r="L23" s="232"/>
      <c r="M23" s="232"/>
    </row>
    <row r="24" spans="1:13" ht="15">
      <c r="A24" s="422" t="s">
        <v>314</v>
      </c>
      <c r="B24" s="423">
        <v>55</v>
      </c>
      <c r="C24" s="423">
        <v>0</v>
      </c>
      <c r="D24" s="424">
        <f>IF(OR(B24+C24&gt;115,F12&lt;&gt;" "),"pas autorisé",(B24+C24))</f>
        <v>55</v>
      </c>
      <c r="E24" s="425">
        <f>LOOKUP(F24+1,Données!G15:H33)</f>
        <v>61</v>
      </c>
      <c r="F24" s="424">
        <f>IF(AND(D24&gt;=1,D24&lt;=5),1,0)+IF(AND(D24&gt;=6,D24&lt;=10),2,0)+IF(AND(D24&gt;=11,D24&lt;=15),3,0)+IF(AND(D24&gt;=16,D24&lt;=20),4,0)+IF(AND(D24&gt;=21,D24&lt;=25),5,0)+IF(AND(D24&gt;=26,D24&lt;=30),6,0)+IF(AND(D24&gt;=31,D24&lt;=35),7,0)+IF(AND(D24&gt;=36,D24&lt;=40),8,0)+IF(AND(D24&gt;=41,D24&lt;=50),9,0)+IF(AND(D24&gt;=51,D24&lt;=60),10,0)+IF(AND(D24&gt;=61,D24&lt;=75),11,0)+IF(AND(D24&gt;=76,D24&lt;=80),12,0)+IF(AND(D24&gt;=81,D24&lt;=85),13,0)+IF(AND(D24&gt;=86,D24&lt;=90),14,0)+IF(AND(D24&gt;=91,D24&lt;=95),15,0)+IF(AND(D24&gt;=96,D24&lt;=104),16,0)+IF(AND(D24&gt;=105,D24&lt;=109),17,0)+IF(AND(D24&gt;=110,D24&lt;=114),18,0)+IF((D24=115),19,0)</f>
        <v>10</v>
      </c>
      <c r="G24" s="430"/>
      <c r="H24" s="429"/>
      <c r="I24" s="427">
        <f t="shared" si="2"/>
        <v>10</v>
      </c>
      <c r="J24" s="232"/>
      <c r="M24" s="232"/>
    </row>
    <row r="25" spans="1:13" ht="15">
      <c r="A25" s="422" t="s">
        <v>16</v>
      </c>
      <c r="B25" s="423">
        <v>55</v>
      </c>
      <c r="C25" s="423">
        <v>0</v>
      </c>
      <c r="D25" s="424">
        <f>IF((B25+C25)&gt;105,"Erreur",(B25+C25))</f>
        <v>55</v>
      </c>
      <c r="E25" s="425">
        <f>LOOKUP(F25+1,Données!$K$15:$L$33)</f>
        <v>61</v>
      </c>
      <c r="F25" s="424">
        <f>IF(D25=1,1,0)+IF(AND(D25&gt;=2,D25&lt;=3),2,0)+IF(AND(D25&gt;=4,D25&lt;=6),3,0)+IF(AND(D25&gt;=7,D25&lt;=8),4,0)+IF(AND(D25&gt;=9,D25&lt;=11),5,0)+IF(AND(D25&gt;=12,D25&lt;=15),6,0)+IF(AND(D25&gt;=16,D25&lt;=20),7,0)+IF(AND(D24&gt;=21,D25&lt;=25),8,0)+IF(AND(D25&gt;=26,D25&lt;=35),9,0)+IF(AND(D25&gt;=36,D25&lt;=40),10,0)+IF(AND(D25&gt;=41,D25&lt;=50),11,0)+IF(AND(D25&gt;=51,D25&lt;=60),12,0)+IF(AND(D25&gt;=61,D25&lt;=70),13,0)+IF(AND(D25&gt;=71,D25&lt;=75),14,0)+IF(AND(D25&gt;=76,D25&lt;=80),15,0)+IF(AND(D25&gt;=81,D25&lt;=85),16,0)+IF(AND(D25&gt;=86,D25&lt;=90),17,0)+IF(AND(D25&gt;=91,D25&lt;=95),18,0)+IF(AND(D25&gt;=96,D25&lt;=100),19,0)</f>
        <v>12</v>
      </c>
      <c r="G25" s="430"/>
      <c r="H25" s="429"/>
      <c r="I25" s="427">
        <f t="shared" si="2"/>
        <v>12</v>
      </c>
      <c r="J25" s="232"/>
      <c r="K25" s="389" t="s">
        <v>48</v>
      </c>
      <c r="L25" s="434" t="s">
        <v>152</v>
      </c>
      <c r="M25" s="232"/>
    </row>
    <row r="26" spans="1:13" ht="15">
      <c r="A26" s="422" t="s">
        <v>15</v>
      </c>
      <c r="B26" s="423">
        <v>55</v>
      </c>
      <c r="C26" s="423">
        <v>0</v>
      </c>
      <c r="D26" s="424">
        <f>IF((B26+C26)&gt;105,"Erreur",(B26+C26))</f>
        <v>55</v>
      </c>
      <c r="E26" s="425">
        <f>LOOKUP(F26+1,Données!$K$15:$L$33)</f>
        <v>61</v>
      </c>
      <c r="F26" s="424">
        <f>IF(D26=1,1,0)+IF(AND(D26&gt;=2,D26&lt;=3),2,0)+IF(AND(D26&gt;=4,D26&lt;=6),3,0)+IF(AND(D26&gt;=7,D26&lt;=8),4,0)+IF(AND(D26&gt;=9,D26&lt;=11),5,0)+IF(AND(D26&gt;=12,D26&lt;=15),6,0)+IF(AND(D26&gt;=16,D26&lt;=20),7,0)+IF(AND(D25&gt;=21,D26&lt;=25),8,0)+IF(AND(D26&gt;=26,D26&lt;=35),9,0)+IF(AND(D26&gt;=36,D26&lt;=40),10,0)+IF(AND(D26&gt;=41,D26&lt;=50),11,0)+IF(AND(D26&gt;=51,D26&lt;=60),12,0)+IF(AND(D26&gt;=61,D26&lt;=70),13,0)+IF(AND(D26&gt;=71,D26&lt;=75),14,0)+IF(AND(D26&gt;=76,D26&lt;=80),15,0)+IF(AND(D26&gt;=81,D26&lt;=85),16,0)+IF(AND(D26&gt;=86,D26&lt;=90),17,0)+IF(AND(D26&gt;=91,D26&lt;=95),18,0)+IF(AND(D26&gt;=96,D26&lt;=100),19,0)</f>
        <v>12</v>
      </c>
      <c r="G26" s="430"/>
      <c r="H26" s="429"/>
      <c r="I26" s="427">
        <f t="shared" si="2"/>
        <v>12</v>
      </c>
      <c r="J26" s="232"/>
      <c r="K26" s="232"/>
      <c r="L26" s="232"/>
      <c r="M26" s="232"/>
    </row>
    <row r="27" spans="1:13" ht="15">
      <c r="A27" s="422" t="s">
        <v>14</v>
      </c>
      <c r="B27" s="423">
        <v>55</v>
      </c>
      <c r="C27" s="423">
        <v>0</v>
      </c>
      <c r="D27" s="424">
        <f>IF((B27+C27)&gt;105,"Erreur",(B27+C27))</f>
        <v>55</v>
      </c>
      <c r="E27" s="425">
        <f>LOOKUP(F27+1,Données!$K$15:$L$33)</f>
        <v>61</v>
      </c>
      <c r="F27" s="424">
        <f>IF(D27=1,1,0)+IF(AND(D27&gt;=2,D27&lt;=3),2,0)+IF(AND(D27&gt;=4,D27&lt;=6),3,0)+IF(AND(D27&gt;=7,D27&lt;=8),4,0)+IF(AND(D27&gt;=9,D27&lt;=11),5,0)+IF(AND(D27&gt;=12,D27&lt;=15),6,0)+IF(AND(D27&gt;=16,D27&lt;=20),7,0)+IF(AND(D26&gt;=21,D27&lt;=25),8,0)+IF(AND(D27&gt;=26,D27&lt;=35),9,0)+IF(AND(D27&gt;=36,D27&lt;=40),10,0)+IF(AND(D27&gt;=41,D27&lt;=50),11,0)+IF(AND(D27&gt;=51,D27&lt;=60),12,0)+IF(AND(D27&gt;=61,D27&lt;=70),13,0)+IF(AND(D27&gt;=71,D27&lt;=75),14,0)+IF(AND(D27&gt;=76,D27&lt;=80),15,0)+IF(AND(D27&gt;=81,D27&lt;=85),16,0)+IF(AND(D27&gt;=86,D27&lt;=90),17,0)+IF(AND(D27&gt;=91,D27&lt;=95),18,0)+IF(AND(D27&gt;=96,D27&lt;=100),19,0)</f>
        <v>12</v>
      </c>
      <c r="G27" s="430"/>
      <c r="H27" s="429"/>
      <c r="I27" s="427">
        <f t="shared" si="2"/>
        <v>12</v>
      </c>
      <c r="J27" s="232"/>
      <c r="K27" s="389" t="s">
        <v>203</v>
      </c>
      <c r="L27" s="434" t="s">
        <v>240</v>
      </c>
      <c r="M27" s="232"/>
    </row>
    <row r="28" spans="1:13" ht="15.75" thickBot="1">
      <c r="A28" s="422" t="s">
        <v>47</v>
      </c>
      <c r="B28" s="435"/>
      <c r="C28" s="435"/>
      <c r="D28" s="436"/>
      <c r="E28" s="436"/>
      <c r="F28" s="431">
        <f>(I15+I16)</f>
        <v>26</v>
      </c>
      <c r="G28" s="424">
        <f>VLOOKUP('Tirage initial'!L25,Données!A162:B170,2,FALSE)</f>
        <v>3</v>
      </c>
      <c r="H28" s="426"/>
      <c r="I28" s="437">
        <f t="shared" si="2"/>
        <v>26</v>
      </c>
      <c r="J28" s="232"/>
      <c r="K28" s="232"/>
      <c r="L28" s="232"/>
      <c r="M28" s="232"/>
    </row>
    <row r="29" spans="1:13" ht="15">
      <c r="A29" s="407" t="s">
        <v>313</v>
      </c>
      <c r="B29" s="438" t="str">
        <f>IF(AND(C24&gt;0,F24&gt;12),"Base","Non")</f>
        <v>Non</v>
      </c>
      <c r="C29" s="439"/>
      <c r="D29" s="440">
        <f>IF(C24&gt;0,ROUNDUP(C24/2,0),"")</f>
      </c>
      <c r="E29" s="441" t="str">
        <f>IF(D29&lt;&gt;"","Points de competence"," ")</f>
        <v> </v>
      </c>
      <c r="F29" s="442"/>
      <c r="G29" s="443"/>
      <c r="H29" s="443"/>
      <c r="I29" s="443"/>
      <c r="J29" s="232"/>
      <c r="K29" s="232"/>
      <c r="L29" s="232"/>
      <c r="M29" s="232"/>
    </row>
    <row r="30" spans="1:13" ht="15">
      <c r="A30" s="232"/>
      <c r="B30" s="444"/>
      <c r="C30" s="444"/>
      <c r="D30" s="232"/>
      <c r="E30" s="232"/>
      <c r="F30" s="392"/>
      <c r="G30" s="392"/>
      <c r="H30" s="443"/>
      <c r="I30" s="232"/>
      <c r="J30" s="232"/>
      <c r="K30" s="232"/>
      <c r="L30" s="232"/>
      <c r="M30" s="232"/>
    </row>
    <row r="31" spans="1:13" ht="15">
      <c r="A31" s="389" t="s">
        <v>54</v>
      </c>
      <c r="B31" s="232">
        <f>(LOOKUP('Tirage initial'!H7,Données!A36:D43))*IF(OR(L27="male",L27="homme"),VLOOKUP(phy,Données!A115:J134,LOOKUP(L25,Données!A80:B89),FALSE),VLOOKUP(phy,Données!K115:T134,LOOKUP(L25,Données!A80:B89),FALSE))</f>
        <v>85</v>
      </c>
      <c r="C31" s="232" t="s">
        <v>201</v>
      </c>
      <c r="D31" s="443"/>
      <c r="E31" s="232" t="s">
        <v>200</v>
      </c>
      <c r="F31" s="232">
        <f>IF(OR(L27="homme",L27="male"),VLOOKUP(phy,Données!A93:J112,LOOKUP(L25,Données!A80:B89),FALSE),VLOOKUP(phy,Données!K93:T112,LOOKUP(L25,Données!A80:B89),FALSE))</f>
        <v>185</v>
      </c>
      <c r="G31" s="392" t="s">
        <v>202</v>
      </c>
      <c r="H31" s="443"/>
      <c r="I31" s="232"/>
      <c r="J31" s="232"/>
      <c r="K31" s="232"/>
      <c r="L31" s="232"/>
      <c r="M31" s="232"/>
    </row>
    <row r="32" spans="1:13" ht="15">
      <c r="A32" s="232"/>
      <c r="B32" s="444"/>
      <c r="C32" s="444"/>
      <c r="D32" s="443"/>
      <c r="E32" s="232"/>
      <c r="F32" s="392"/>
      <c r="G32" s="392"/>
      <c r="H32" s="443"/>
      <c r="I32" s="232"/>
      <c r="J32" s="232"/>
      <c r="K32" s="232"/>
      <c r="L32" s="232"/>
      <c r="M32" s="232"/>
    </row>
    <row r="33" spans="1:13" ht="15">
      <c r="A33" s="232"/>
      <c r="B33" s="389" t="s">
        <v>49</v>
      </c>
      <c r="C33" s="445">
        <v>0</v>
      </c>
      <c r="D33" s="232" t="s">
        <v>164</v>
      </c>
      <c r="E33" s="443">
        <f>IF(C33&lt;6,C33*2,0)+IF(AND(C33&gt;=6,C33&lt;=7),12,0)+IF(AND(C33&gt;=8,C33&lt;=9),14,0)+IF(AND(C33&gt;=10,C33&lt;=11),16,0)+IF(AND(C33&gt;=12,C33&lt;=13),18,0)+IF(AND(C33&gt;=14,C33&lt;=15),20,0)+IF(C33=16,22,0)+IF(C33=17,24,0)+IF(C33=18,26,0)+IF(C33=18,26,0)+IF(C33=19,28,0)+IF(C33=20,30,0)</f>
        <v>0</v>
      </c>
      <c r="F33" s="232" t="s">
        <v>50</v>
      </c>
      <c r="G33" s="232"/>
      <c r="H33" s="389" t="s">
        <v>37</v>
      </c>
      <c r="I33" s="400">
        <v>6</v>
      </c>
      <c r="J33" s="232"/>
      <c r="K33" s="232"/>
      <c r="L33" s="232"/>
      <c r="M33" s="232"/>
    </row>
    <row r="34" spans="1:13" ht="14.25" customHeight="1">
      <c r="A34" s="232"/>
      <c r="B34" s="444"/>
      <c r="C34" s="444"/>
      <c r="D34" s="39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s="419" customFormat="1" ht="25.5" customHeight="1">
      <c r="A35" s="446" t="s">
        <v>25</v>
      </c>
      <c r="B35" s="447" t="s">
        <v>19</v>
      </c>
      <c r="C35" s="448"/>
      <c r="D35" s="448"/>
      <c r="E35" s="449"/>
      <c r="F35" s="413" t="s">
        <v>33</v>
      </c>
      <c r="G35" s="413" t="s">
        <v>36</v>
      </c>
      <c r="H35" s="413" t="s">
        <v>38</v>
      </c>
      <c r="I35" s="413" t="s">
        <v>37</v>
      </c>
      <c r="J35" s="413" t="s">
        <v>167</v>
      </c>
      <c r="K35" s="450"/>
      <c r="L35" s="450"/>
      <c r="M35" s="450"/>
    </row>
    <row r="36" spans="1:13" ht="15">
      <c r="A36" s="407" t="s">
        <v>19</v>
      </c>
      <c r="B36" s="407" t="s">
        <v>31</v>
      </c>
      <c r="C36" s="451"/>
      <c r="D36" s="451"/>
      <c r="E36" s="236"/>
      <c r="F36" s="452" t="s">
        <v>34</v>
      </c>
      <c r="G36" s="424">
        <f>For+con+de+ag+int+com+cou</f>
        <v>88</v>
      </c>
      <c r="H36" s="424">
        <f aca="true" t="shared" si="3" ref="H36:H42">$E$33*5</f>
        <v>0</v>
      </c>
      <c r="I36" s="424">
        <f aca="true" t="shared" si="4" ref="I36:I42">IF(AND($I$33&gt;=6,$I$33&lt;=64),$I$33,"Pas de Bonus")</f>
        <v>6</v>
      </c>
      <c r="J36" s="453">
        <f>SUM(G36:I36)</f>
        <v>94</v>
      </c>
      <c r="K36" s="232"/>
      <c r="L36" s="232"/>
      <c r="M36" s="232"/>
    </row>
    <row r="37" spans="1:13" ht="15">
      <c r="A37" s="407" t="s">
        <v>20</v>
      </c>
      <c r="B37" s="407" t="s">
        <v>27</v>
      </c>
      <c r="C37" s="451"/>
      <c r="D37" s="451"/>
      <c r="E37" s="236"/>
      <c r="F37" s="452" t="s">
        <v>35</v>
      </c>
      <c r="G37" s="424">
        <f>de+int+ion+com+gta+ma+ea</f>
        <v>83</v>
      </c>
      <c r="H37" s="424">
        <f t="shared" si="3"/>
        <v>0</v>
      </c>
      <c r="I37" s="424">
        <f t="shared" si="4"/>
        <v>6</v>
      </c>
      <c r="J37" s="453">
        <f aca="true" t="shared" si="5" ref="J37:J42">SUM(G37:I37)</f>
        <v>89</v>
      </c>
      <c r="K37" s="232"/>
      <c r="L37" s="232"/>
      <c r="M37" s="232"/>
    </row>
    <row r="38" spans="1:13" ht="15">
      <c r="A38" s="407" t="s">
        <v>21</v>
      </c>
      <c r="B38" s="407" t="s">
        <v>27</v>
      </c>
      <c r="C38" s="451"/>
      <c r="D38" s="451"/>
      <c r="E38" s="236"/>
      <c r="F38" s="452" t="s">
        <v>35</v>
      </c>
      <c r="G38" s="424">
        <f>de+2*(int+gta+ma+ea)</f>
        <v>108</v>
      </c>
      <c r="H38" s="424">
        <f t="shared" si="3"/>
        <v>0</v>
      </c>
      <c r="I38" s="424">
        <f t="shared" si="4"/>
        <v>6</v>
      </c>
      <c r="J38" s="453">
        <f t="shared" si="5"/>
        <v>114</v>
      </c>
      <c r="K38" s="232"/>
      <c r="L38" s="232"/>
      <c r="M38" s="232"/>
    </row>
    <row r="39" spans="1:12" ht="15">
      <c r="A39" s="407" t="s">
        <v>141</v>
      </c>
      <c r="B39" s="407" t="s">
        <v>28</v>
      </c>
      <c r="C39" s="451"/>
      <c r="D39" s="451"/>
      <c r="E39" s="236"/>
      <c r="F39" s="452" t="s">
        <v>35</v>
      </c>
      <c r="G39" s="424">
        <f>de+(3*int)+2*ion+MAX(I25:I27)</f>
        <v>80</v>
      </c>
      <c r="H39" s="424">
        <f t="shared" si="3"/>
        <v>0</v>
      </c>
      <c r="I39" s="424">
        <f t="shared" si="4"/>
        <v>6</v>
      </c>
      <c r="J39" s="453">
        <f t="shared" si="5"/>
        <v>86</v>
      </c>
      <c r="K39" s="232"/>
      <c r="L39" s="232"/>
    </row>
    <row r="40" spans="1:13" ht="15">
      <c r="A40" s="407" t="s">
        <v>23</v>
      </c>
      <c r="B40" s="407" t="s">
        <v>29</v>
      </c>
      <c r="C40" s="451"/>
      <c r="D40" s="451"/>
      <c r="E40" s="236"/>
      <c r="F40" s="452" t="s">
        <v>35</v>
      </c>
      <c r="G40" s="424">
        <f>de+(3*int)+2*ion+MAX(I25:I27)</f>
        <v>80</v>
      </c>
      <c r="H40" s="424">
        <f t="shared" si="3"/>
        <v>0</v>
      </c>
      <c r="I40" s="424">
        <f t="shared" si="4"/>
        <v>6</v>
      </c>
      <c r="J40" s="453">
        <f t="shared" si="5"/>
        <v>86</v>
      </c>
      <c r="K40" s="232"/>
      <c r="L40" s="232"/>
      <c r="M40" s="232"/>
    </row>
    <row r="41" spans="1:13" ht="15">
      <c r="A41" s="407" t="s">
        <v>22</v>
      </c>
      <c r="B41" s="407" t="s">
        <v>30</v>
      </c>
      <c r="C41" s="451"/>
      <c r="D41" s="451"/>
      <c r="E41" s="236"/>
      <c r="F41" s="452" t="s">
        <v>35</v>
      </c>
      <c r="G41" s="424">
        <f>de+2*(int+gta+ma+ea)</f>
        <v>108</v>
      </c>
      <c r="H41" s="424">
        <f t="shared" si="3"/>
        <v>0</v>
      </c>
      <c r="I41" s="424">
        <f t="shared" si="4"/>
        <v>6</v>
      </c>
      <c r="J41" s="453">
        <f t="shared" si="5"/>
        <v>114</v>
      </c>
      <c r="K41" s="232"/>
      <c r="L41" s="232"/>
      <c r="M41" s="454" t="s">
        <v>315</v>
      </c>
    </row>
    <row r="42" spans="1:13" ht="15">
      <c r="A42" s="407" t="s">
        <v>24</v>
      </c>
      <c r="B42" s="407" t="s">
        <v>32</v>
      </c>
      <c r="C42" s="451"/>
      <c r="D42" s="451"/>
      <c r="E42" s="236"/>
      <c r="F42" s="452" t="s">
        <v>34</v>
      </c>
      <c r="G42" s="424">
        <f>con+de+ag+int+ion+cou+com+gta</f>
        <v>97</v>
      </c>
      <c r="H42" s="424">
        <f t="shared" si="3"/>
        <v>0</v>
      </c>
      <c r="I42" s="424">
        <f t="shared" si="4"/>
        <v>6</v>
      </c>
      <c r="J42" s="453">
        <f t="shared" si="5"/>
        <v>103</v>
      </c>
      <c r="K42" s="232"/>
      <c r="L42" s="232"/>
      <c r="M42" s="454" t="s">
        <v>317</v>
      </c>
    </row>
    <row r="43" spans="1:13" ht="1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</row>
    <row r="44" spans="1:13" ht="1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  <row r="45" spans="1:13" ht="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</row>
    <row r="46" spans="1:13" ht="15">
      <c r="A46" s="232"/>
      <c r="B46" s="232"/>
      <c r="C46" s="232"/>
      <c r="D46" s="389"/>
      <c r="E46" s="232"/>
      <c r="F46" s="455"/>
      <c r="G46" s="232"/>
      <c r="H46" s="232"/>
      <c r="I46" s="232"/>
      <c r="J46" s="232"/>
      <c r="K46" s="232"/>
      <c r="L46" s="232"/>
      <c r="M46" s="232"/>
    </row>
    <row r="47" spans="2:13" ht="15">
      <c r="B47" s="232"/>
      <c r="C47" s="232"/>
      <c r="D47" s="232"/>
      <c r="E47" s="232"/>
      <c r="F47" s="455"/>
      <c r="G47" s="232"/>
      <c r="H47" s="232"/>
      <c r="I47" s="232"/>
      <c r="J47" s="232"/>
      <c r="K47" s="232"/>
      <c r="L47" s="232"/>
      <c r="M47" s="232"/>
    </row>
    <row r="48" ht="15">
      <c r="F48" s="456"/>
    </row>
    <row r="49" ht="15">
      <c r="F49" s="456"/>
    </row>
    <row r="50" ht="15">
      <c r="F50" s="456"/>
    </row>
    <row r="51" ht="15">
      <c r="F51" s="456"/>
    </row>
    <row r="52" ht="15">
      <c r="F52" s="456"/>
    </row>
    <row r="53" ht="15">
      <c r="F53" s="456"/>
    </row>
    <row r="54" ht="15">
      <c r="F54" s="456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3"/>
  <headerFooter alignWithMargins="0">
    <oddHeader>&amp;LSpace Opera&amp;R&amp;A</oddHeader>
    <oddFooter>&amp;L&amp;D &amp;T&amp;R&amp;P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A46">
      <selection activeCell="E30" sqref="E30"/>
    </sheetView>
  </sheetViews>
  <sheetFormatPr defaultColWidth="11.421875" defaultRowHeight="12.75"/>
  <cols>
    <col min="1" max="2" width="2.7109375" style="13" customWidth="1"/>
    <col min="3" max="3" width="24.421875" style="13" customWidth="1"/>
    <col min="4" max="4" width="1.7109375" style="13" customWidth="1"/>
    <col min="5" max="7" width="7.57421875" style="13" customWidth="1"/>
    <col min="8" max="9" width="6.7109375" style="13" customWidth="1"/>
    <col min="10" max="18" width="6.00390625" style="13" customWidth="1"/>
    <col min="19" max="19" width="2.7109375" style="13" customWidth="1"/>
    <col min="20" max="22" width="6.7109375" style="13" customWidth="1"/>
    <col min="23" max="16384" width="11.421875" style="13" customWidth="1"/>
  </cols>
  <sheetData>
    <row r="1" spans="1:19" ht="12" customHeight="1" thickBot="1">
      <c r="A1" s="2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5"/>
    </row>
    <row r="2" spans="1:19" ht="38.25" customHeight="1" thickBot="1" thickTop="1">
      <c r="A2" s="18"/>
      <c r="B2" s="14"/>
      <c r="C2" s="113" t="s">
        <v>321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20"/>
    </row>
    <row r="3" spans="1:19" ht="16.5" thickTop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0"/>
    </row>
    <row r="4" spans="1:19" ht="16.5">
      <c r="A4" s="30"/>
      <c r="B4" s="31"/>
      <c r="C4" s="32" t="s">
        <v>246</v>
      </c>
      <c r="D4" s="31" t="s">
        <v>249</v>
      </c>
      <c r="E4" s="33">
        <f>'Tirage initial'!B5</f>
        <v>0</v>
      </c>
      <c r="F4" s="31"/>
      <c r="G4" s="31"/>
      <c r="I4" s="34" t="s">
        <v>323</v>
      </c>
      <c r="J4" s="31" t="str">
        <f>'Tirage initial'!B35</f>
        <v>Combattant</v>
      </c>
      <c r="K4" s="31"/>
      <c r="L4" s="31"/>
      <c r="M4" s="32"/>
      <c r="N4" s="35"/>
      <c r="O4" s="35"/>
      <c r="P4" s="34" t="s">
        <v>322</v>
      </c>
      <c r="Q4" s="28">
        <f>'Tirage initial'!F5</f>
        <v>38158</v>
      </c>
      <c r="R4" s="29"/>
      <c r="S4" s="20"/>
    </row>
    <row r="5" spans="1:19" ht="15.75">
      <c r="A5" s="30"/>
      <c r="B5" s="31"/>
      <c r="C5" s="31"/>
      <c r="D5" s="31"/>
      <c r="E5" s="31"/>
      <c r="F5" s="31"/>
      <c r="G5" s="31"/>
      <c r="I5" s="31"/>
      <c r="J5" s="31"/>
      <c r="K5" s="31"/>
      <c r="L5" s="31"/>
      <c r="M5" s="31"/>
      <c r="N5" s="35"/>
      <c r="O5" s="35"/>
      <c r="P5" s="31"/>
      <c r="Q5" s="31"/>
      <c r="R5" s="31"/>
      <c r="S5" s="20"/>
    </row>
    <row r="6" spans="1:19" ht="16.5">
      <c r="A6" s="30"/>
      <c r="B6" s="31"/>
      <c r="C6" s="32" t="s">
        <v>247</v>
      </c>
      <c r="D6" s="31" t="s">
        <v>249</v>
      </c>
      <c r="E6" s="33">
        <f>'Tirage initial'!B8</f>
        <v>0</v>
      </c>
      <c r="F6" s="31"/>
      <c r="G6" s="31"/>
      <c r="I6" s="32" t="s">
        <v>324</v>
      </c>
      <c r="J6" s="33" t="str">
        <f>'Tirage initial'!L25</f>
        <v>Humain</v>
      </c>
      <c r="K6" s="31"/>
      <c r="L6" s="31"/>
      <c r="M6" s="35"/>
      <c r="N6" s="35"/>
      <c r="O6" s="35"/>
      <c r="P6" s="34" t="s">
        <v>203</v>
      </c>
      <c r="Q6" s="31" t="str">
        <f>'Tirage initial'!L27</f>
        <v>homme</v>
      </c>
      <c r="R6" s="31"/>
      <c r="S6" s="20"/>
    </row>
    <row r="7" spans="1:19" ht="15.75">
      <c r="A7" s="30"/>
      <c r="B7" s="31"/>
      <c r="C7" s="31"/>
      <c r="D7" s="31"/>
      <c r="E7" s="31"/>
      <c r="F7" s="31"/>
      <c r="G7" s="31"/>
      <c r="I7" s="31"/>
      <c r="J7" s="31"/>
      <c r="K7" s="31"/>
      <c r="L7" s="31"/>
      <c r="M7" s="35"/>
      <c r="N7" s="35"/>
      <c r="O7" s="35"/>
      <c r="P7" s="37"/>
      <c r="Q7" s="31"/>
      <c r="R7" s="31"/>
      <c r="S7" s="20"/>
    </row>
    <row r="8" spans="1:19" ht="16.5">
      <c r="A8" s="30"/>
      <c r="B8" s="31"/>
      <c r="C8" s="32" t="s">
        <v>248</v>
      </c>
      <c r="D8" s="31" t="s">
        <v>249</v>
      </c>
      <c r="E8" s="36"/>
      <c r="F8" s="36"/>
      <c r="G8" s="31"/>
      <c r="I8" s="34" t="s">
        <v>200</v>
      </c>
      <c r="J8" s="31">
        <f>'Tirage initial'!F31</f>
        <v>185</v>
      </c>
      <c r="K8" s="31" t="s">
        <v>254</v>
      </c>
      <c r="L8" s="31"/>
      <c r="M8" s="35"/>
      <c r="N8" s="35"/>
      <c r="O8" s="35"/>
      <c r="P8" s="34" t="s">
        <v>54</v>
      </c>
      <c r="Q8" s="31">
        <f>'Tirage initial'!B31</f>
        <v>85</v>
      </c>
      <c r="R8" s="31" t="s">
        <v>255</v>
      </c>
      <c r="S8" s="20"/>
    </row>
    <row r="9" spans="1:19" ht="16.5" thickBo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0"/>
    </row>
    <row r="10" spans="1:19" ht="15.75">
      <c r="A10" s="30"/>
      <c r="B10" s="31"/>
      <c r="C10" s="38" t="s">
        <v>245</v>
      </c>
      <c r="D10" s="39"/>
      <c r="E10" s="39"/>
      <c r="F10" s="39"/>
      <c r="G10" s="40"/>
      <c r="H10" s="31"/>
      <c r="I10" s="31"/>
      <c r="J10" s="38" t="s">
        <v>256</v>
      </c>
      <c r="K10" s="39"/>
      <c r="L10" s="39"/>
      <c r="M10" s="39"/>
      <c r="N10" s="39"/>
      <c r="O10" s="39"/>
      <c r="P10" s="41" t="s">
        <v>269</v>
      </c>
      <c r="Q10" s="39">
        <f>ROUND(L13/7,1)</f>
        <v>8</v>
      </c>
      <c r="R10" s="40" t="s">
        <v>255</v>
      </c>
      <c r="S10" s="20"/>
    </row>
    <row r="11" spans="1:19" ht="15.75">
      <c r="A11" s="30"/>
      <c r="B11" s="31"/>
      <c r="C11" s="30"/>
      <c r="D11" s="31"/>
      <c r="E11" s="42" t="s">
        <v>250</v>
      </c>
      <c r="F11" s="42" t="s">
        <v>251</v>
      </c>
      <c r="G11" s="43" t="s">
        <v>252</v>
      </c>
      <c r="H11" s="31"/>
      <c r="I11" s="31"/>
      <c r="J11" s="44"/>
      <c r="K11" s="31"/>
      <c r="L11" s="31"/>
      <c r="M11" s="31"/>
      <c r="N11" s="31"/>
      <c r="O11" s="31"/>
      <c r="P11" s="45" t="s">
        <v>268</v>
      </c>
      <c r="Q11" s="31">
        <f>ROUND(L13/4,1)</f>
        <v>14</v>
      </c>
      <c r="R11" s="46" t="s">
        <v>255</v>
      </c>
      <c r="S11" s="20"/>
    </row>
    <row r="12" spans="1:19" ht="15.75">
      <c r="A12" s="30"/>
      <c r="B12" s="31"/>
      <c r="C12" s="47" t="s">
        <v>3</v>
      </c>
      <c r="D12" s="48"/>
      <c r="E12" s="42">
        <f>'Tirage initial'!D14</f>
        <v>50</v>
      </c>
      <c r="F12" s="42">
        <f>phy</f>
        <v>13</v>
      </c>
      <c r="G12" s="49"/>
      <c r="H12" s="31"/>
      <c r="I12" s="31"/>
      <c r="J12" s="44"/>
      <c r="K12" s="31"/>
      <c r="L12" s="31"/>
      <c r="M12" s="31"/>
      <c r="N12" s="31"/>
      <c r="O12" s="31"/>
      <c r="P12" s="45" t="s">
        <v>267</v>
      </c>
      <c r="Q12" s="31">
        <f>ROUND(L13/3,1)</f>
        <v>18.7</v>
      </c>
      <c r="R12" s="46" t="s">
        <v>255</v>
      </c>
      <c r="S12" s="20"/>
    </row>
    <row r="13" spans="1:19" ht="15.75">
      <c r="A13" s="30"/>
      <c r="B13" s="31"/>
      <c r="C13" s="47" t="s">
        <v>4</v>
      </c>
      <c r="D13" s="48"/>
      <c r="E13" s="42">
        <f>'Tirage initial'!D15</f>
        <v>50</v>
      </c>
      <c r="F13" s="42">
        <f aca="true" t="shared" si="0" ref="F13:F25">phy</f>
        <v>13</v>
      </c>
      <c r="G13" s="49"/>
      <c r="H13" s="31"/>
      <c r="I13" s="31"/>
      <c r="J13" s="44"/>
      <c r="K13" s="31" t="s">
        <v>263</v>
      </c>
      <c r="L13" s="31">
        <f>ROUNDUP((phy+For+con)/3*'Feuille de personnage'!Q8*LOOKUP('Feuille de personnage'!J6,Données!A138:B146),0)</f>
        <v>56</v>
      </c>
      <c r="M13" s="31" t="s">
        <v>255</v>
      </c>
      <c r="N13" s="31"/>
      <c r="O13" s="31"/>
      <c r="P13" s="45" t="s">
        <v>266</v>
      </c>
      <c r="Q13" s="31">
        <f>ROUND(L13/2,1)</f>
        <v>28</v>
      </c>
      <c r="R13" s="46" t="s">
        <v>255</v>
      </c>
      <c r="S13" s="20"/>
    </row>
    <row r="14" spans="1:19" ht="15.75">
      <c r="A14" s="30"/>
      <c r="B14" s="31"/>
      <c r="C14" s="47" t="s">
        <v>5</v>
      </c>
      <c r="D14" s="48"/>
      <c r="E14" s="42">
        <f>'Tirage initial'!D16</f>
        <v>55</v>
      </c>
      <c r="F14" s="42">
        <f t="shared" si="0"/>
        <v>13</v>
      </c>
      <c r="G14" s="49"/>
      <c r="H14" s="31"/>
      <c r="I14" s="31"/>
      <c r="J14" s="44"/>
      <c r="K14" s="31"/>
      <c r="L14" s="31"/>
      <c r="M14" s="31"/>
      <c r="N14" s="31"/>
      <c r="O14" s="31"/>
      <c r="P14" s="45" t="s">
        <v>265</v>
      </c>
      <c r="Q14" s="31">
        <f>ROUND(L13*2/3,1)</f>
        <v>37.3</v>
      </c>
      <c r="R14" s="46" t="s">
        <v>255</v>
      </c>
      <c r="S14" s="20"/>
    </row>
    <row r="15" spans="1:19" ht="16.5" thickBot="1">
      <c r="A15" s="30"/>
      <c r="B15" s="31"/>
      <c r="C15" s="47" t="s">
        <v>6</v>
      </c>
      <c r="D15" s="48"/>
      <c r="E15" s="42">
        <f>'Tirage initial'!D17</f>
        <v>55</v>
      </c>
      <c r="F15" s="42">
        <f t="shared" si="0"/>
        <v>13</v>
      </c>
      <c r="G15" s="49"/>
      <c r="H15" s="31"/>
      <c r="I15" s="31"/>
      <c r="J15" s="50"/>
      <c r="K15" s="51"/>
      <c r="L15" s="51"/>
      <c r="M15" s="51"/>
      <c r="N15" s="51"/>
      <c r="O15" s="51"/>
      <c r="P15" s="52" t="s">
        <v>264</v>
      </c>
      <c r="Q15" s="51">
        <f>ROUND(L13*4/5,1)</f>
        <v>44.8</v>
      </c>
      <c r="R15" s="53" t="s">
        <v>255</v>
      </c>
      <c r="S15" s="20"/>
    </row>
    <row r="16" spans="1:19" ht="16.5" thickBot="1">
      <c r="A16" s="30"/>
      <c r="B16" s="31"/>
      <c r="C16" s="47" t="s">
        <v>7</v>
      </c>
      <c r="D16" s="48"/>
      <c r="E16" s="42">
        <f>'Tirage initial'!D18</f>
        <v>55</v>
      </c>
      <c r="F16" s="42">
        <f t="shared" si="0"/>
        <v>13</v>
      </c>
      <c r="G16" s="49"/>
      <c r="H16" s="31"/>
      <c r="I16" s="31"/>
      <c r="J16" s="54"/>
      <c r="K16" s="31"/>
      <c r="L16" s="31"/>
      <c r="M16" s="31"/>
      <c r="N16" s="31"/>
      <c r="O16" s="31"/>
      <c r="P16" s="31"/>
      <c r="Q16" s="31"/>
      <c r="R16" s="31"/>
      <c r="S16" s="20"/>
    </row>
    <row r="17" spans="1:19" ht="17.25" thickBot="1">
      <c r="A17" s="30"/>
      <c r="B17" s="31"/>
      <c r="C17" s="47" t="s">
        <v>9</v>
      </c>
      <c r="D17" s="48"/>
      <c r="E17" s="42">
        <f>'Tirage initial'!D19</f>
        <v>55</v>
      </c>
      <c r="F17" s="42">
        <f t="shared" si="0"/>
        <v>13</v>
      </c>
      <c r="G17" s="49"/>
      <c r="H17" s="31"/>
      <c r="I17" s="31"/>
      <c r="J17" s="55" t="s">
        <v>325</v>
      </c>
      <c r="K17" s="56"/>
      <c r="L17" s="56"/>
      <c r="M17" s="56"/>
      <c r="N17" s="57">
        <f>F14</f>
        <v>13</v>
      </c>
      <c r="O17" s="58">
        <f>ROUNDUP(N17/2,0)</f>
        <v>7</v>
      </c>
      <c r="P17" s="58">
        <f>ROUNDUP(N17/3,0)</f>
        <v>5</v>
      </c>
      <c r="Q17" s="58">
        <f>ROUNDUP(N17/4,0)</f>
        <v>4</v>
      </c>
      <c r="R17" s="59">
        <f>ROUNDUP(N17/5,0)</f>
        <v>3</v>
      </c>
      <c r="S17" s="20"/>
    </row>
    <row r="18" spans="1:19" ht="16.5" thickBot="1">
      <c r="A18" s="30"/>
      <c r="B18" s="31"/>
      <c r="C18" s="47" t="s">
        <v>8</v>
      </c>
      <c r="D18" s="48"/>
      <c r="E18" s="42">
        <f>'Tirage initial'!D20</f>
        <v>55</v>
      </c>
      <c r="F18" s="42">
        <f t="shared" si="0"/>
        <v>13</v>
      </c>
      <c r="G18" s="49"/>
      <c r="H18" s="31"/>
      <c r="I18" s="31"/>
      <c r="J18" s="54"/>
      <c r="K18" s="31"/>
      <c r="L18" s="31"/>
      <c r="M18" s="31"/>
      <c r="N18" s="31"/>
      <c r="O18" s="31"/>
      <c r="P18" s="31"/>
      <c r="Q18" s="31"/>
      <c r="R18" s="31"/>
      <c r="S18" s="20"/>
    </row>
    <row r="19" spans="1:19" ht="17.25" thickBot="1">
      <c r="A19" s="30"/>
      <c r="B19" s="31"/>
      <c r="C19" s="47" t="s">
        <v>10</v>
      </c>
      <c r="D19" s="48"/>
      <c r="E19" s="42">
        <f>'Tirage initial'!D21</f>
        <v>55</v>
      </c>
      <c r="F19" s="42">
        <f t="shared" si="0"/>
        <v>13</v>
      </c>
      <c r="G19" s="49"/>
      <c r="H19" s="31"/>
      <c r="I19" s="31"/>
      <c r="J19" s="112" t="s">
        <v>278</v>
      </c>
      <c r="K19" s="56"/>
      <c r="L19" s="56"/>
      <c r="M19" s="56"/>
      <c r="N19" s="57">
        <f>((phy+For+con+Q8)/10)*LOOKUP(J6,Données!A150:B158)</f>
        <v>31</v>
      </c>
      <c r="O19" s="56"/>
      <c r="P19" s="56"/>
      <c r="Q19" s="56"/>
      <c r="R19" s="60"/>
      <c r="S19" s="20"/>
    </row>
    <row r="20" spans="1:19" ht="16.5" thickBot="1">
      <c r="A20" s="30"/>
      <c r="B20" s="31"/>
      <c r="C20" s="47" t="s">
        <v>11</v>
      </c>
      <c r="D20" s="48"/>
      <c r="E20" s="42">
        <f>'Tirage initial'!D22</f>
        <v>55</v>
      </c>
      <c r="F20" s="42">
        <f t="shared" si="0"/>
        <v>13</v>
      </c>
      <c r="G20" s="49">
        <f>LOOKUP(F20,Données!A196:B201)</f>
        <v>1</v>
      </c>
      <c r="H20" s="31"/>
      <c r="I20" s="31"/>
      <c r="J20" s="54"/>
      <c r="K20" s="31"/>
      <c r="L20" s="31"/>
      <c r="M20" s="31"/>
      <c r="N20" s="31"/>
      <c r="O20" s="31"/>
      <c r="P20" s="31"/>
      <c r="Q20" s="31"/>
      <c r="R20" s="31"/>
      <c r="S20" s="20"/>
    </row>
    <row r="21" spans="1:19" ht="17.25" thickBot="1">
      <c r="A21" s="30"/>
      <c r="B21" s="31"/>
      <c r="C21" s="47" t="s">
        <v>12</v>
      </c>
      <c r="D21" s="48"/>
      <c r="E21" s="42">
        <f>'Tirage initial'!D23</f>
        <v>55</v>
      </c>
      <c r="F21" s="42">
        <f t="shared" si="0"/>
        <v>13</v>
      </c>
      <c r="G21" s="49"/>
      <c r="H21" s="31"/>
      <c r="I21" s="31"/>
      <c r="J21" s="55" t="s">
        <v>277</v>
      </c>
      <c r="K21" s="56"/>
      <c r="L21" s="56"/>
      <c r="M21" s="56"/>
      <c r="N21" s="57">
        <f>(For+con)*LOOKUP(J6,Données!A162:B170)</f>
        <v>78</v>
      </c>
      <c r="O21" s="56"/>
      <c r="P21" s="56"/>
      <c r="Q21" s="56"/>
      <c r="R21" s="60"/>
      <c r="S21" s="20"/>
    </row>
    <row r="22" spans="1:19" ht="16.5" thickBot="1">
      <c r="A22" s="30"/>
      <c r="B22" s="31"/>
      <c r="C22" s="47" t="s">
        <v>13</v>
      </c>
      <c r="D22" s="48"/>
      <c r="E22" s="42">
        <f>'Tirage initial'!D24</f>
        <v>55</v>
      </c>
      <c r="F22" s="42">
        <f t="shared" si="0"/>
        <v>13</v>
      </c>
      <c r="G22" s="49"/>
      <c r="H22" s="31"/>
      <c r="I22" s="31"/>
      <c r="J22" s="54"/>
      <c r="K22" s="31"/>
      <c r="L22" s="31"/>
      <c r="M22" s="31"/>
      <c r="N22" s="31"/>
      <c r="O22" s="31"/>
      <c r="P22" s="31"/>
      <c r="Q22" s="31"/>
      <c r="R22" s="31"/>
      <c r="S22" s="20"/>
    </row>
    <row r="23" spans="1:19" ht="16.5">
      <c r="A23" s="30"/>
      <c r="B23" s="31"/>
      <c r="C23" s="47" t="s">
        <v>16</v>
      </c>
      <c r="D23" s="48"/>
      <c r="E23" s="42">
        <f>'Tirage initial'!D25</f>
        <v>55</v>
      </c>
      <c r="F23" s="42">
        <f t="shared" si="0"/>
        <v>13</v>
      </c>
      <c r="G23" s="49"/>
      <c r="H23" s="31"/>
      <c r="I23" s="31"/>
      <c r="J23" s="38" t="s">
        <v>257</v>
      </c>
      <c r="K23" s="39"/>
      <c r="L23" s="39"/>
      <c r="M23" s="61">
        <f>ROUNDUP(N21*3,0)</f>
        <v>234</v>
      </c>
      <c r="N23" s="61">
        <f>ROUNDUP(M23*1.2,0)</f>
        <v>281</v>
      </c>
      <c r="O23" s="39"/>
      <c r="P23" s="39"/>
      <c r="Q23" s="39"/>
      <c r="R23" s="40"/>
      <c r="S23" s="20"/>
    </row>
    <row r="24" spans="1:19" ht="15.75">
      <c r="A24" s="30"/>
      <c r="B24" s="31"/>
      <c r="C24" s="47" t="s">
        <v>15</v>
      </c>
      <c r="D24" s="48"/>
      <c r="E24" s="42">
        <f>'Tirage initial'!D26</f>
        <v>55</v>
      </c>
      <c r="F24" s="42">
        <f t="shared" si="0"/>
        <v>13</v>
      </c>
      <c r="G24" s="49"/>
      <c r="H24" s="31"/>
      <c r="I24" s="31"/>
      <c r="J24" s="47" t="s">
        <v>258</v>
      </c>
      <c r="K24" s="48"/>
      <c r="L24" s="62"/>
      <c r="M24" s="63" t="s">
        <v>260</v>
      </c>
      <c r="N24" s="64"/>
      <c r="O24" s="65"/>
      <c r="P24" s="63" t="s">
        <v>261</v>
      </c>
      <c r="Q24" s="64"/>
      <c r="R24" s="66"/>
      <c r="S24" s="20"/>
    </row>
    <row r="25" spans="1:19" ht="16.5" thickBot="1">
      <c r="A25" s="30"/>
      <c r="B25" s="31"/>
      <c r="C25" s="67" t="s">
        <v>14</v>
      </c>
      <c r="D25" s="68"/>
      <c r="E25" s="69">
        <f>'Tirage initial'!D27</f>
        <v>55</v>
      </c>
      <c r="F25" s="69">
        <f t="shared" si="0"/>
        <v>13</v>
      </c>
      <c r="G25" s="70"/>
      <c r="H25" s="31"/>
      <c r="I25" s="31"/>
      <c r="J25" s="71" t="s">
        <v>259</v>
      </c>
      <c r="K25" s="51"/>
      <c r="L25" s="72"/>
      <c r="M25" s="73">
        <f>IF(F14&lt;11,1,0)+IF(AND(F14&gt;=11,F14&lt;=15),2,0)+IF(AND(F14&gt;=16,F14&lt;=18),3,0)+IF(F14&gt;18,4,0)</f>
        <v>2</v>
      </c>
      <c r="N25" s="52" t="s">
        <v>262</v>
      </c>
      <c r="O25" s="72"/>
      <c r="P25" s="73">
        <f>M25+2</f>
        <v>4</v>
      </c>
      <c r="Q25" s="52" t="s">
        <v>262</v>
      </c>
      <c r="R25" s="53"/>
      <c r="S25" s="20"/>
    </row>
    <row r="26" spans="1:19" ht="15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0"/>
    </row>
    <row r="27" spans="1:19" ht="15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0"/>
    </row>
    <row r="28" spans="1:19" ht="16.5" thickBot="1">
      <c r="A28" s="74"/>
      <c r="B28" s="35"/>
      <c r="C28" s="75" t="s">
        <v>270</v>
      </c>
      <c r="D28" s="35"/>
      <c r="E28" s="35"/>
      <c r="F28" s="35"/>
      <c r="G28" s="35"/>
      <c r="H28" s="35"/>
      <c r="I28" s="35"/>
      <c r="J28" s="75" t="s">
        <v>271</v>
      </c>
      <c r="K28" s="35"/>
      <c r="L28" s="35"/>
      <c r="M28" s="35"/>
      <c r="N28" s="35"/>
      <c r="O28" s="35"/>
      <c r="P28" s="35"/>
      <c r="Q28" s="35"/>
      <c r="R28" s="35"/>
      <c r="S28" s="20"/>
    </row>
    <row r="29" spans="1:19" ht="15.75">
      <c r="A29" s="74"/>
      <c r="B29" s="35"/>
      <c r="C29" s="76" t="s">
        <v>288</v>
      </c>
      <c r="D29" s="77" t="s">
        <v>249</v>
      </c>
      <c r="E29" s="78"/>
      <c r="F29" s="78"/>
      <c r="G29" s="79"/>
      <c r="H29" s="35"/>
      <c r="I29" s="35"/>
      <c r="J29" s="80"/>
      <c r="K29" s="81"/>
      <c r="L29" s="81"/>
      <c r="M29" s="81"/>
      <c r="N29" s="81"/>
      <c r="O29" s="81"/>
      <c r="P29" s="81"/>
      <c r="Q29" s="81"/>
      <c r="R29" s="82"/>
      <c r="S29" s="20"/>
    </row>
    <row r="30" spans="1:19" ht="15.75">
      <c r="A30" s="74"/>
      <c r="B30" s="35"/>
      <c r="C30" s="74" t="s">
        <v>289</v>
      </c>
      <c r="D30" s="83" t="s">
        <v>249</v>
      </c>
      <c r="E30" s="84"/>
      <c r="F30" s="84"/>
      <c r="G30" s="85"/>
      <c r="H30" s="35"/>
      <c r="I30" s="35"/>
      <c r="J30" s="86"/>
      <c r="K30" s="87"/>
      <c r="L30" s="87"/>
      <c r="M30" s="87"/>
      <c r="N30" s="87"/>
      <c r="O30" s="87"/>
      <c r="P30" s="87"/>
      <c r="Q30" s="87"/>
      <c r="R30" s="88"/>
      <c r="S30" s="20"/>
    </row>
    <row r="31" spans="1:19" ht="15.75">
      <c r="A31" s="74"/>
      <c r="B31" s="35"/>
      <c r="C31" s="74" t="s">
        <v>292</v>
      </c>
      <c r="D31" s="83" t="s">
        <v>249</v>
      </c>
      <c r="E31" s="84"/>
      <c r="F31" s="84"/>
      <c r="G31" s="85"/>
      <c r="H31" s="35"/>
      <c r="I31" s="35"/>
      <c r="J31" s="86"/>
      <c r="K31" s="87"/>
      <c r="L31" s="87"/>
      <c r="M31" s="87"/>
      <c r="N31" s="87"/>
      <c r="O31" s="87"/>
      <c r="P31" s="87"/>
      <c r="Q31" s="87"/>
      <c r="R31" s="88"/>
      <c r="S31" s="20"/>
    </row>
    <row r="32" spans="1:19" ht="15.75">
      <c r="A32" s="74"/>
      <c r="B32" s="35"/>
      <c r="C32" s="74" t="s">
        <v>290</v>
      </c>
      <c r="D32" s="83" t="s">
        <v>249</v>
      </c>
      <c r="E32" s="84"/>
      <c r="F32" s="84"/>
      <c r="G32" s="85"/>
      <c r="H32" s="35"/>
      <c r="I32" s="35"/>
      <c r="J32" s="86"/>
      <c r="K32" s="87"/>
      <c r="L32" s="87"/>
      <c r="M32" s="87"/>
      <c r="N32" s="87"/>
      <c r="O32" s="87"/>
      <c r="P32" s="87"/>
      <c r="Q32" s="87"/>
      <c r="R32" s="88"/>
      <c r="S32" s="20"/>
    </row>
    <row r="33" spans="1:19" ht="15.75">
      <c r="A33" s="74"/>
      <c r="B33" s="35"/>
      <c r="C33" s="74" t="s">
        <v>43</v>
      </c>
      <c r="D33" s="83" t="s">
        <v>249</v>
      </c>
      <c r="E33" s="35">
        <f>'Tirage initial'!J8</f>
        <v>1</v>
      </c>
      <c r="F33" s="35" t="s">
        <v>166</v>
      </c>
      <c r="G33" s="89"/>
      <c r="H33" s="35"/>
      <c r="I33" s="35"/>
      <c r="J33" s="86"/>
      <c r="K33" s="87"/>
      <c r="L33" s="87"/>
      <c r="M33" s="87"/>
      <c r="N33" s="87"/>
      <c r="O33" s="87"/>
      <c r="P33" s="87"/>
      <c r="Q33" s="87"/>
      <c r="R33" s="88"/>
      <c r="S33" s="20"/>
    </row>
    <row r="34" spans="1:19" ht="16.5" thickBot="1">
      <c r="A34" s="74"/>
      <c r="B34" s="35"/>
      <c r="C34" s="74" t="s">
        <v>326</v>
      </c>
      <c r="D34" s="83" t="s">
        <v>249</v>
      </c>
      <c r="E34" s="83">
        <f>'Tirage initial'!J10</f>
        <v>1</v>
      </c>
      <c r="F34" s="90" t="str">
        <f>'Tirage initial'!K10</f>
        <v>Standard</v>
      </c>
      <c r="G34" s="91"/>
      <c r="H34" s="35"/>
      <c r="I34" s="35"/>
      <c r="J34" s="92"/>
      <c r="K34" s="93"/>
      <c r="L34" s="93"/>
      <c r="M34" s="93"/>
      <c r="N34" s="93"/>
      <c r="O34" s="93"/>
      <c r="P34" s="93"/>
      <c r="Q34" s="93"/>
      <c r="R34" s="94"/>
      <c r="S34" s="20"/>
    </row>
    <row r="35" spans="1:19" ht="15.75">
      <c r="A35" s="74"/>
      <c r="B35" s="35"/>
      <c r="C35" s="74" t="s">
        <v>307</v>
      </c>
      <c r="D35" s="83" t="s">
        <v>249</v>
      </c>
      <c r="E35" s="84"/>
      <c r="F35" s="84"/>
      <c r="G35" s="8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20"/>
    </row>
    <row r="36" spans="1:19" ht="16.5" thickBot="1">
      <c r="A36" s="74"/>
      <c r="B36" s="35"/>
      <c r="C36" s="74" t="s">
        <v>308</v>
      </c>
      <c r="D36" s="83" t="s">
        <v>249</v>
      </c>
      <c r="E36" s="84"/>
      <c r="F36" s="84"/>
      <c r="G36" s="85"/>
      <c r="H36" s="35"/>
      <c r="I36" s="35"/>
      <c r="J36" s="75" t="s">
        <v>306</v>
      </c>
      <c r="K36" s="35"/>
      <c r="L36" s="35"/>
      <c r="M36" s="35"/>
      <c r="N36" s="35"/>
      <c r="O36" s="35"/>
      <c r="P36" s="35"/>
      <c r="Q36" s="35"/>
      <c r="R36" s="35"/>
      <c r="S36" s="20"/>
    </row>
    <row r="37" spans="1:19" ht="15.75">
      <c r="A37" s="74"/>
      <c r="B37" s="35"/>
      <c r="C37" s="74" t="s">
        <v>291</v>
      </c>
      <c r="D37" s="83" t="s">
        <v>249</v>
      </c>
      <c r="E37" s="84"/>
      <c r="F37" s="84"/>
      <c r="G37" s="85"/>
      <c r="H37" s="35"/>
      <c r="I37" s="35"/>
      <c r="J37" s="95"/>
      <c r="K37" s="78"/>
      <c r="L37" s="78"/>
      <c r="M37" s="78"/>
      <c r="N37" s="78"/>
      <c r="O37" s="78"/>
      <c r="P37" s="78"/>
      <c r="Q37" s="78"/>
      <c r="R37" s="79"/>
      <c r="S37" s="20"/>
    </row>
    <row r="38" spans="1:19" ht="15.75">
      <c r="A38" s="74"/>
      <c r="B38" s="35"/>
      <c r="C38" s="74" t="s">
        <v>293</v>
      </c>
      <c r="D38" s="83" t="s">
        <v>249</v>
      </c>
      <c r="E38" s="84"/>
      <c r="F38" s="84"/>
      <c r="G38" s="85"/>
      <c r="H38" s="35"/>
      <c r="I38" s="35"/>
      <c r="J38" s="96"/>
      <c r="K38" s="84"/>
      <c r="L38" s="84"/>
      <c r="M38" s="84"/>
      <c r="N38" s="84"/>
      <c r="O38" s="84"/>
      <c r="P38" s="84"/>
      <c r="Q38" s="84"/>
      <c r="R38" s="85"/>
      <c r="S38" s="20"/>
    </row>
    <row r="39" spans="1:19" ht="15.75">
      <c r="A39" s="74"/>
      <c r="B39" s="35"/>
      <c r="C39" s="74" t="s">
        <v>294</v>
      </c>
      <c r="D39" s="83" t="s">
        <v>249</v>
      </c>
      <c r="E39" s="84"/>
      <c r="F39" s="84"/>
      <c r="G39" s="85"/>
      <c r="H39" s="35"/>
      <c r="I39" s="35"/>
      <c r="J39" s="96"/>
      <c r="K39" s="84"/>
      <c r="L39" s="84"/>
      <c r="M39" s="84"/>
      <c r="N39" s="84"/>
      <c r="O39" s="84"/>
      <c r="P39" s="84"/>
      <c r="Q39" s="84"/>
      <c r="R39" s="85"/>
      <c r="S39" s="20"/>
    </row>
    <row r="40" spans="1:19" ht="15.75">
      <c r="A40" s="74"/>
      <c r="B40" s="35"/>
      <c r="C40" s="74" t="s">
        <v>295</v>
      </c>
      <c r="D40" s="83" t="s">
        <v>249</v>
      </c>
      <c r="E40" s="84"/>
      <c r="F40" s="84"/>
      <c r="G40" s="85"/>
      <c r="H40" s="35"/>
      <c r="I40" s="35"/>
      <c r="J40" s="96"/>
      <c r="K40" s="84"/>
      <c r="L40" s="84"/>
      <c r="M40" s="84"/>
      <c r="N40" s="84"/>
      <c r="O40" s="84"/>
      <c r="P40" s="84"/>
      <c r="Q40" s="84"/>
      <c r="R40" s="85"/>
      <c r="S40" s="20"/>
    </row>
    <row r="41" spans="1:19" ht="15.75">
      <c r="A41" s="74"/>
      <c r="B41" s="35"/>
      <c r="C41" s="74" t="s">
        <v>296</v>
      </c>
      <c r="D41" s="83" t="s">
        <v>249</v>
      </c>
      <c r="E41" s="84"/>
      <c r="F41" s="84"/>
      <c r="G41" s="85"/>
      <c r="H41" s="35"/>
      <c r="I41" s="35"/>
      <c r="J41" s="96"/>
      <c r="K41" s="84"/>
      <c r="L41" s="84"/>
      <c r="M41" s="84"/>
      <c r="N41" s="84"/>
      <c r="O41" s="84"/>
      <c r="P41" s="84"/>
      <c r="Q41" s="84"/>
      <c r="R41" s="85"/>
      <c r="S41" s="20"/>
    </row>
    <row r="42" spans="1:19" ht="15.75">
      <c r="A42" s="74"/>
      <c r="B42" s="35"/>
      <c r="C42" s="74" t="s">
        <v>328</v>
      </c>
      <c r="D42" s="83" t="s">
        <v>249</v>
      </c>
      <c r="E42" s="84"/>
      <c r="F42" s="84"/>
      <c r="G42" s="85"/>
      <c r="H42" s="35"/>
      <c r="I42" s="35"/>
      <c r="J42" s="96"/>
      <c r="K42" s="84"/>
      <c r="L42" s="84"/>
      <c r="M42" s="84"/>
      <c r="N42" s="84"/>
      <c r="O42" s="84"/>
      <c r="P42" s="84"/>
      <c r="Q42" s="84"/>
      <c r="R42" s="85"/>
      <c r="S42" s="20"/>
    </row>
    <row r="43" spans="1:19" ht="15.75">
      <c r="A43" s="74"/>
      <c r="B43" s="35"/>
      <c r="C43" s="74" t="s">
        <v>327</v>
      </c>
      <c r="D43" s="83" t="s">
        <v>249</v>
      </c>
      <c r="E43" s="84"/>
      <c r="F43" s="84"/>
      <c r="G43" s="85"/>
      <c r="H43" s="35"/>
      <c r="I43" s="35"/>
      <c r="J43" s="96"/>
      <c r="K43" s="84"/>
      <c r="L43" s="84"/>
      <c r="M43" s="84"/>
      <c r="N43" s="84"/>
      <c r="O43" s="84"/>
      <c r="P43" s="84"/>
      <c r="Q43" s="84"/>
      <c r="R43" s="85"/>
      <c r="S43" s="20"/>
    </row>
    <row r="44" spans="1:19" ht="15.75">
      <c r="A44" s="74"/>
      <c r="B44" s="35"/>
      <c r="C44" s="74" t="s">
        <v>297</v>
      </c>
      <c r="D44" s="83" t="s">
        <v>249</v>
      </c>
      <c r="E44" s="84"/>
      <c r="F44" s="84"/>
      <c r="G44" s="85"/>
      <c r="H44" s="35"/>
      <c r="I44" s="35"/>
      <c r="J44" s="96"/>
      <c r="K44" s="84"/>
      <c r="L44" s="84"/>
      <c r="M44" s="84"/>
      <c r="N44" s="84"/>
      <c r="O44" s="84"/>
      <c r="P44" s="84"/>
      <c r="Q44" s="84"/>
      <c r="R44" s="85"/>
      <c r="S44" s="20"/>
    </row>
    <row r="45" spans="1:19" ht="15.75">
      <c r="A45" s="74"/>
      <c r="B45" s="35"/>
      <c r="C45" s="74" t="s">
        <v>298</v>
      </c>
      <c r="D45" s="83" t="s">
        <v>249</v>
      </c>
      <c r="E45" s="84"/>
      <c r="F45" s="84"/>
      <c r="G45" s="85"/>
      <c r="H45" s="35"/>
      <c r="I45" s="35"/>
      <c r="J45" s="96"/>
      <c r="K45" s="84"/>
      <c r="L45" s="84"/>
      <c r="M45" s="84"/>
      <c r="N45" s="84"/>
      <c r="O45" s="84"/>
      <c r="P45" s="84"/>
      <c r="Q45" s="84"/>
      <c r="R45" s="85"/>
      <c r="S45" s="20"/>
    </row>
    <row r="46" spans="1:19" ht="15.75">
      <c r="A46" s="74"/>
      <c r="B46" s="35"/>
      <c r="C46" s="74" t="s">
        <v>299</v>
      </c>
      <c r="D46" s="83" t="s">
        <v>249</v>
      </c>
      <c r="E46" s="84"/>
      <c r="F46" s="84"/>
      <c r="G46" s="85"/>
      <c r="H46" s="35"/>
      <c r="I46" s="35"/>
      <c r="J46" s="96"/>
      <c r="K46" s="84"/>
      <c r="L46" s="84"/>
      <c r="M46" s="84"/>
      <c r="N46" s="84"/>
      <c r="O46" s="84"/>
      <c r="P46" s="84"/>
      <c r="Q46" s="84"/>
      <c r="R46" s="85"/>
      <c r="S46" s="20"/>
    </row>
    <row r="47" spans="1:19" ht="15.75">
      <c r="A47" s="74"/>
      <c r="B47" s="35"/>
      <c r="C47" s="74" t="s">
        <v>300</v>
      </c>
      <c r="D47" s="83" t="s">
        <v>249</v>
      </c>
      <c r="E47" s="84"/>
      <c r="F47" s="84"/>
      <c r="G47" s="85"/>
      <c r="H47" s="35"/>
      <c r="I47" s="35"/>
      <c r="J47" s="96"/>
      <c r="K47" s="84"/>
      <c r="L47" s="84"/>
      <c r="M47" s="84"/>
      <c r="N47" s="84"/>
      <c r="O47" s="84"/>
      <c r="P47" s="84"/>
      <c r="Q47" s="84"/>
      <c r="R47" s="85"/>
      <c r="S47" s="20"/>
    </row>
    <row r="48" spans="1:19" ht="15.75">
      <c r="A48" s="74"/>
      <c r="B48" s="35"/>
      <c r="C48" s="74"/>
      <c r="D48" s="35"/>
      <c r="E48" s="84"/>
      <c r="F48" s="84"/>
      <c r="G48" s="85"/>
      <c r="H48" s="35"/>
      <c r="I48" s="35"/>
      <c r="J48" s="96"/>
      <c r="K48" s="84"/>
      <c r="L48" s="84"/>
      <c r="M48" s="84"/>
      <c r="N48" s="84"/>
      <c r="O48" s="84"/>
      <c r="P48" s="84"/>
      <c r="Q48" s="84"/>
      <c r="R48" s="85"/>
      <c r="S48" s="20"/>
    </row>
    <row r="49" spans="1:19" ht="15.75">
      <c r="A49" s="74"/>
      <c r="B49" s="35"/>
      <c r="C49" s="74" t="s">
        <v>301</v>
      </c>
      <c r="D49" s="83" t="s">
        <v>249</v>
      </c>
      <c r="E49" s="84"/>
      <c r="F49" s="84"/>
      <c r="G49" s="85"/>
      <c r="H49" s="35"/>
      <c r="I49" s="35"/>
      <c r="J49" s="96"/>
      <c r="K49" s="84"/>
      <c r="L49" s="84"/>
      <c r="M49" s="84"/>
      <c r="N49" s="84"/>
      <c r="O49" s="84"/>
      <c r="P49" s="84"/>
      <c r="Q49" s="84"/>
      <c r="R49" s="85"/>
      <c r="S49" s="20"/>
    </row>
    <row r="50" spans="1:19" ht="16.5" thickBot="1">
      <c r="A50" s="74"/>
      <c r="B50" s="35"/>
      <c r="C50" s="97"/>
      <c r="D50" s="98"/>
      <c r="E50" s="99"/>
      <c r="F50" s="99"/>
      <c r="G50" s="100"/>
      <c r="H50" s="35"/>
      <c r="I50" s="35"/>
      <c r="J50" s="96"/>
      <c r="K50" s="84"/>
      <c r="L50" s="84"/>
      <c r="M50" s="84"/>
      <c r="N50" s="84"/>
      <c r="O50" s="84"/>
      <c r="P50" s="84"/>
      <c r="Q50" s="84"/>
      <c r="R50" s="85"/>
      <c r="S50" s="20"/>
    </row>
    <row r="51" spans="1:19" ht="15.75">
      <c r="A51" s="74"/>
      <c r="B51" s="35"/>
      <c r="C51" s="35"/>
      <c r="D51" s="35"/>
      <c r="E51" s="35"/>
      <c r="F51" s="35"/>
      <c r="G51" s="35"/>
      <c r="H51" s="35"/>
      <c r="I51" s="35"/>
      <c r="J51" s="96"/>
      <c r="K51" s="84"/>
      <c r="L51" s="84"/>
      <c r="M51" s="84"/>
      <c r="N51" s="84"/>
      <c r="O51" s="84"/>
      <c r="P51" s="84"/>
      <c r="Q51" s="84"/>
      <c r="R51" s="85"/>
      <c r="S51" s="20"/>
    </row>
    <row r="52" spans="1:19" ht="16.5" thickBot="1">
      <c r="A52" s="74"/>
      <c r="B52" s="35"/>
      <c r="C52" s="75" t="s">
        <v>302</v>
      </c>
      <c r="D52" s="35"/>
      <c r="E52" s="35"/>
      <c r="F52" s="35"/>
      <c r="G52" s="35"/>
      <c r="H52" s="35"/>
      <c r="I52" s="35"/>
      <c r="J52" s="96"/>
      <c r="K52" s="84"/>
      <c r="L52" s="84"/>
      <c r="M52" s="84"/>
      <c r="N52" s="84"/>
      <c r="O52" s="84"/>
      <c r="P52" s="84"/>
      <c r="Q52" s="84"/>
      <c r="R52" s="85"/>
      <c r="S52" s="20"/>
    </row>
    <row r="53" spans="1:19" ht="15.75">
      <c r="A53" s="74"/>
      <c r="B53" s="35"/>
      <c r="C53" s="76" t="s">
        <v>303</v>
      </c>
      <c r="D53" s="101"/>
      <c r="E53" s="77" t="s">
        <v>50</v>
      </c>
      <c r="F53" s="77" t="s">
        <v>304</v>
      </c>
      <c r="G53" s="102" t="s">
        <v>305</v>
      </c>
      <c r="H53" s="35"/>
      <c r="I53" s="35"/>
      <c r="J53" s="96"/>
      <c r="K53" s="84"/>
      <c r="L53" s="84"/>
      <c r="M53" s="84"/>
      <c r="N53" s="84"/>
      <c r="O53" s="84"/>
      <c r="P53" s="84"/>
      <c r="Q53" s="84"/>
      <c r="R53" s="85"/>
      <c r="S53" s="20"/>
    </row>
    <row r="54" spans="1:19" ht="15.75">
      <c r="A54" s="74"/>
      <c r="B54" s="35"/>
      <c r="C54" s="96"/>
      <c r="D54" s="35" t="s">
        <v>249</v>
      </c>
      <c r="E54" s="83">
        <f>Service</f>
        <v>0</v>
      </c>
      <c r="F54" s="103"/>
      <c r="G54" s="104"/>
      <c r="H54" s="35"/>
      <c r="I54" s="35"/>
      <c r="J54" s="96"/>
      <c r="K54" s="84"/>
      <c r="L54" s="84"/>
      <c r="M54" s="84"/>
      <c r="N54" s="84"/>
      <c r="O54" s="84"/>
      <c r="P54" s="84"/>
      <c r="Q54" s="84"/>
      <c r="R54" s="85"/>
      <c r="S54" s="20"/>
    </row>
    <row r="55" spans="1:19" ht="15.75">
      <c r="A55" s="74"/>
      <c r="B55" s="35"/>
      <c r="C55" s="96"/>
      <c r="D55" s="84"/>
      <c r="E55" s="103"/>
      <c r="F55" s="103"/>
      <c r="G55" s="104"/>
      <c r="H55" s="35"/>
      <c r="I55" s="35"/>
      <c r="J55" s="96"/>
      <c r="K55" s="84"/>
      <c r="L55" s="84"/>
      <c r="M55" s="84"/>
      <c r="N55" s="84"/>
      <c r="O55" s="84"/>
      <c r="P55" s="84"/>
      <c r="Q55" s="84"/>
      <c r="R55" s="85"/>
      <c r="S55" s="20"/>
    </row>
    <row r="56" spans="1:19" ht="15.75">
      <c r="A56" s="74"/>
      <c r="B56" s="35"/>
      <c r="C56" s="96"/>
      <c r="D56" s="84"/>
      <c r="E56" s="103"/>
      <c r="F56" s="103"/>
      <c r="G56" s="104"/>
      <c r="H56" s="35"/>
      <c r="I56" s="35"/>
      <c r="J56" s="96"/>
      <c r="K56" s="84"/>
      <c r="L56" s="84"/>
      <c r="M56" s="84"/>
      <c r="N56" s="84"/>
      <c r="O56" s="84"/>
      <c r="P56" s="84"/>
      <c r="Q56" s="84"/>
      <c r="R56" s="85"/>
      <c r="S56" s="20"/>
    </row>
    <row r="57" spans="1:19" ht="15.75">
      <c r="A57" s="74"/>
      <c r="B57" s="35"/>
      <c r="C57" s="96"/>
      <c r="D57" s="84"/>
      <c r="E57" s="103"/>
      <c r="F57" s="103"/>
      <c r="G57" s="104"/>
      <c r="H57" s="35"/>
      <c r="I57" s="35"/>
      <c r="J57" s="96"/>
      <c r="K57" s="84"/>
      <c r="L57" s="84"/>
      <c r="M57" s="84"/>
      <c r="N57" s="84"/>
      <c r="O57" s="84"/>
      <c r="P57" s="84"/>
      <c r="Q57" s="84"/>
      <c r="R57" s="85"/>
      <c r="S57" s="20"/>
    </row>
    <row r="58" spans="1:19" ht="16.5" thickBot="1">
      <c r="A58" s="74"/>
      <c r="B58" s="35"/>
      <c r="C58" s="105"/>
      <c r="D58" s="99"/>
      <c r="E58" s="99"/>
      <c r="F58" s="99"/>
      <c r="G58" s="100"/>
      <c r="H58" s="35"/>
      <c r="I58" s="35"/>
      <c r="J58" s="96"/>
      <c r="K58" s="84"/>
      <c r="L58" s="84"/>
      <c r="M58" s="84"/>
      <c r="N58" s="84"/>
      <c r="O58" s="84"/>
      <c r="P58" s="84"/>
      <c r="Q58" s="84"/>
      <c r="R58" s="85"/>
      <c r="S58" s="20"/>
    </row>
    <row r="59" spans="1:19" ht="16.5" thickBot="1">
      <c r="A59" s="74"/>
      <c r="B59" s="35"/>
      <c r="C59" s="35"/>
      <c r="D59" s="35"/>
      <c r="E59" s="35"/>
      <c r="F59" s="35"/>
      <c r="G59" s="35"/>
      <c r="H59" s="35"/>
      <c r="I59" s="35"/>
      <c r="J59" s="74"/>
      <c r="K59" s="35"/>
      <c r="L59" s="35"/>
      <c r="M59" s="35"/>
      <c r="N59" s="35"/>
      <c r="O59" s="35"/>
      <c r="P59" s="35"/>
      <c r="Q59" s="35"/>
      <c r="R59" s="89"/>
      <c r="S59" s="20"/>
    </row>
    <row r="60" spans="1:19" ht="15.75">
      <c r="A60" s="74"/>
      <c r="B60" s="35"/>
      <c r="C60" s="76" t="s">
        <v>310</v>
      </c>
      <c r="D60" s="101" t="s">
        <v>249</v>
      </c>
      <c r="E60" s="77">
        <f>'Tirage initial'!B10+SUM('Feuille de personnage'!E55:E58)</f>
        <v>18</v>
      </c>
      <c r="F60" s="101"/>
      <c r="G60" s="106"/>
      <c r="H60" s="35"/>
      <c r="I60" s="35"/>
      <c r="J60" s="74"/>
      <c r="K60" s="35"/>
      <c r="L60" s="35"/>
      <c r="M60" s="35"/>
      <c r="N60" s="35"/>
      <c r="O60" s="35"/>
      <c r="P60" s="35"/>
      <c r="Q60" s="35"/>
      <c r="R60" s="89"/>
      <c r="S60" s="20"/>
    </row>
    <row r="61" spans="1:19" ht="16.5" thickBot="1">
      <c r="A61" s="74"/>
      <c r="B61" s="35"/>
      <c r="C61" s="97" t="s">
        <v>311</v>
      </c>
      <c r="D61" s="98" t="s">
        <v>249</v>
      </c>
      <c r="E61" s="107">
        <f>E60</f>
        <v>18</v>
      </c>
      <c r="F61" s="98"/>
      <c r="G61" s="108"/>
      <c r="H61" s="35"/>
      <c r="I61" s="35"/>
      <c r="J61" s="74"/>
      <c r="K61" s="35"/>
      <c r="L61" s="35"/>
      <c r="M61" s="35"/>
      <c r="N61" s="35"/>
      <c r="O61" s="35"/>
      <c r="P61" s="35"/>
      <c r="Q61" s="35"/>
      <c r="R61" s="89"/>
      <c r="S61" s="20"/>
    </row>
    <row r="62" spans="1:19" ht="16.5" thickBot="1">
      <c r="A62" s="74"/>
      <c r="B62" s="35"/>
      <c r="C62" s="35"/>
      <c r="D62" s="35"/>
      <c r="E62" s="35"/>
      <c r="F62" s="35"/>
      <c r="G62" s="35"/>
      <c r="H62" s="35"/>
      <c r="I62" s="35"/>
      <c r="J62" s="74"/>
      <c r="K62" s="35"/>
      <c r="L62" s="35"/>
      <c r="M62" s="35"/>
      <c r="N62" s="35"/>
      <c r="O62" s="35"/>
      <c r="P62" s="35"/>
      <c r="Q62" s="35"/>
      <c r="R62" s="89"/>
      <c r="S62" s="20"/>
    </row>
    <row r="63" spans="1:19" ht="16.5" thickBot="1">
      <c r="A63" s="74"/>
      <c r="B63" s="35"/>
      <c r="C63" s="109" t="s">
        <v>312</v>
      </c>
      <c r="D63" s="110" t="s">
        <v>249</v>
      </c>
      <c r="E63" s="110" t="str">
        <f>IF('Tirage initial'!C24&gt;0,"Base","Non")</f>
        <v>Non</v>
      </c>
      <c r="F63" s="110"/>
      <c r="G63" s="111"/>
      <c r="H63" s="35"/>
      <c r="I63" s="35"/>
      <c r="J63" s="97"/>
      <c r="K63" s="98"/>
      <c r="L63" s="98"/>
      <c r="M63" s="98"/>
      <c r="N63" s="98"/>
      <c r="O63" s="98"/>
      <c r="P63" s="98"/>
      <c r="Q63" s="98"/>
      <c r="R63" s="108"/>
      <c r="S63" s="20"/>
    </row>
    <row r="64" spans="1:19" ht="10.5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6"/>
    </row>
  </sheetData>
  <sheetProtection password="F5B3"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scale="68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5"/>
  <sheetViews>
    <sheetView workbookViewId="0" topLeftCell="A22">
      <selection activeCell="E32" sqref="E32"/>
    </sheetView>
  </sheetViews>
  <sheetFormatPr defaultColWidth="11.421875" defaultRowHeight="12.75"/>
  <cols>
    <col min="1" max="1" width="32.140625" style="466" customWidth="1"/>
    <col min="2" max="2" width="6.7109375" style="465" customWidth="1"/>
    <col min="3" max="4" width="6.7109375" style="466" customWidth="1"/>
    <col min="5" max="5" width="37.57421875" style="466" customWidth="1"/>
    <col min="6" max="8" width="6.7109375" style="466" customWidth="1"/>
    <col min="9" max="9" width="34.00390625" style="466" customWidth="1"/>
    <col min="10" max="12" width="6.7109375" style="466" customWidth="1"/>
    <col min="13" max="16384" width="11.421875" style="466" customWidth="1"/>
  </cols>
  <sheetData>
    <row r="1" ht="26.25">
      <c r="A1" s="464" t="s">
        <v>615</v>
      </c>
    </row>
    <row r="2" spans="1:9" s="468" customFormat="1" ht="15" thickBot="1">
      <c r="A2" s="461" t="s">
        <v>377</v>
      </c>
      <c r="B2" s="467"/>
      <c r="E2" s="462" t="s">
        <v>556</v>
      </c>
      <c r="I2" s="463" t="s">
        <v>617</v>
      </c>
    </row>
    <row r="3" spans="1:9" ht="14.25" thickBot="1" thickTop="1">
      <c r="A3" s="256" t="s">
        <v>381</v>
      </c>
      <c r="E3" s="235" t="s">
        <v>524</v>
      </c>
      <c r="I3" s="275" t="s">
        <v>469</v>
      </c>
    </row>
    <row r="4" spans="1:9" ht="13.5" thickTop="1">
      <c r="A4" s="237" t="s">
        <v>382</v>
      </c>
      <c r="E4" s="256" t="s">
        <v>516</v>
      </c>
      <c r="I4" s="276" t="s">
        <v>470</v>
      </c>
    </row>
    <row r="5" spans="1:9" ht="12.75">
      <c r="A5" s="237" t="s">
        <v>383</v>
      </c>
      <c r="E5" s="237" t="s">
        <v>517</v>
      </c>
      <c r="I5" s="276" t="s">
        <v>474</v>
      </c>
    </row>
    <row r="6" spans="1:9" ht="12.75">
      <c r="A6" s="237" t="s">
        <v>385</v>
      </c>
      <c r="E6" s="237" t="s">
        <v>518</v>
      </c>
      <c r="I6" s="276" t="s">
        <v>472</v>
      </c>
    </row>
    <row r="7" spans="1:9" ht="12.75">
      <c r="A7" s="237" t="s">
        <v>384</v>
      </c>
      <c r="E7" s="237" t="s">
        <v>519</v>
      </c>
      <c r="I7" s="276" t="s">
        <v>473</v>
      </c>
    </row>
    <row r="8" spans="1:9" ht="12.75">
      <c r="A8" s="237" t="s">
        <v>387</v>
      </c>
      <c r="E8" s="237" t="s">
        <v>520</v>
      </c>
      <c r="I8" s="276" t="s">
        <v>482</v>
      </c>
    </row>
    <row r="9" spans="1:9" ht="12.75">
      <c r="A9" s="237" t="s">
        <v>390</v>
      </c>
      <c r="E9" s="237" t="s">
        <v>521</v>
      </c>
      <c r="I9" s="276" t="s">
        <v>489</v>
      </c>
    </row>
    <row r="10" spans="1:9" ht="12.75">
      <c r="A10" s="237" t="s">
        <v>389</v>
      </c>
      <c r="E10" s="237" t="s">
        <v>522</v>
      </c>
      <c r="I10" s="276" t="s">
        <v>471</v>
      </c>
    </row>
    <row r="11" spans="1:9" ht="12.75">
      <c r="A11" s="237" t="s">
        <v>388</v>
      </c>
      <c r="E11" s="237" t="s">
        <v>533</v>
      </c>
      <c r="I11" s="276" t="s">
        <v>490</v>
      </c>
    </row>
    <row r="12" spans="1:9" ht="12.75">
      <c r="A12" s="237" t="s">
        <v>386</v>
      </c>
      <c r="E12" s="237" t="s">
        <v>523</v>
      </c>
      <c r="I12" s="276" t="s">
        <v>483</v>
      </c>
    </row>
    <row r="13" spans="1:9" ht="13.5" thickBot="1">
      <c r="A13" s="240"/>
      <c r="E13" s="235" t="s">
        <v>525</v>
      </c>
      <c r="I13" s="276" t="s">
        <v>484</v>
      </c>
    </row>
    <row r="14" spans="1:9" ht="13.5" thickTop="1">
      <c r="A14" s="248" t="s">
        <v>397</v>
      </c>
      <c r="E14" s="256" t="s">
        <v>526</v>
      </c>
      <c r="I14" s="276" t="s">
        <v>485</v>
      </c>
    </row>
    <row r="15" spans="1:9" ht="13.5" thickBot="1">
      <c r="A15" s="240"/>
      <c r="E15" s="237" t="s">
        <v>527</v>
      </c>
      <c r="I15" s="276" t="s">
        <v>611</v>
      </c>
    </row>
    <row r="16" spans="1:9" ht="13.5" thickTop="1">
      <c r="A16" s="256" t="s">
        <v>391</v>
      </c>
      <c r="E16" s="237" t="s">
        <v>528</v>
      </c>
      <c r="I16" s="276" t="s">
        <v>486</v>
      </c>
    </row>
    <row r="17" spans="1:9" ht="12.75">
      <c r="A17" s="237" t="s">
        <v>392</v>
      </c>
      <c r="E17" s="237" t="s">
        <v>529</v>
      </c>
      <c r="I17" s="276" t="s">
        <v>487</v>
      </c>
    </row>
    <row r="18" spans="1:9" ht="12.75">
      <c r="A18" s="237" t="s">
        <v>393</v>
      </c>
      <c r="E18" s="237" t="s">
        <v>530</v>
      </c>
      <c r="I18" s="276" t="s">
        <v>488</v>
      </c>
    </row>
    <row r="19" spans="1:9" ht="12.75">
      <c r="A19" s="237" t="s">
        <v>394</v>
      </c>
      <c r="E19" s="237" t="s">
        <v>531</v>
      </c>
      <c r="I19" s="276" t="s">
        <v>418</v>
      </c>
    </row>
    <row r="20" spans="1:9" ht="12.75">
      <c r="A20" s="237" t="s">
        <v>395</v>
      </c>
      <c r="E20" s="237" t="s">
        <v>532</v>
      </c>
      <c r="I20" s="276" t="s">
        <v>491</v>
      </c>
    </row>
    <row r="21" spans="1:9" ht="12.75">
      <c r="A21" s="237" t="s">
        <v>396</v>
      </c>
      <c r="E21" s="237" t="s">
        <v>546</v>
      </c>
      <c r="I21" s="276" t="s">
        <v>572</v>
      </c>
    </row>
    <row r="22" spans="1:9" ht="13.5" thickBot="1">
      <c r="A22" s="240"/>
      <c r="E22" s="235" t="s">
        <v>562</v>
      </c>
      <c r="I22" s="276" t="s">
        <v>574</v>
      </c>
    </row>
    <row r="23" spans="1:9" ht="13.5" thickTop="1">
      <c r="A23" s="248" t="s">
        <v>398</v>
      </c>
      <c r="E23" s="256" t="s">
        <v>563</v>
      </c>
      <c r="I23" s="276" t="s">
        <v>573</v>
      </c>
    </row>
    <row r="24" spans="1:9" ht="13.5" thickBot="1">
      <c r="A24" s="240"/>
      <c r="E24" s="237" t="s">
        <v>564</v>
      </c>
      <c r="I24" s="276" t="s">
        <v>492</v>
      </c>
    </row>
    <row r="25" spans="1:9" ht="13.5" thickTop="1">
      <c r="A25" s="256" t="s">
        <v>399</v>
      </c>
      <c r="E25" s="237" t="s">
        <v>565</v>
      </c>
      <c r="I25" s="276" t="s">
        <v>493</v>
      </c>
    </row>
    <row r="26" spans="1:9" ht="12.75">
      <c r="A26" s="237" t="s">
        <v>400</v>
      </c>
      <c r="E26" s="237" t="s">
        <v>566</v>
      </c>
      <c r="I26" s="276" t="s">
        <v>494</v>
      </c>
    </row>
    <row r="27" spans="1:9" ht="12.75">
      <c r="A27" s="237" t="s">
        <v>401</v>
      </c>
      <c r="E27" s="237" t="s">
        <v>567</v>
      </c>
      <c r="I27" s="276" t="s">
        <v>475</v>
      </c>
    </row>
    <row r="28" spans="1:9" ht="12.75">
      <c r="A28" s="237" t="s">
        <v>571</v>
      </c>
      <c r="E28" s="237" t="s">
        <v>569</v>
      </c>
      <c r="I28" s="276" t="s">
        <v>480</v>
      </c>
    </row>
    <row r="29" spans="1:9" ht="12.75">
      <c r="A29" s="237" t="s">
        <v>402</v>
      </c>
      <c r="E29" s="237" t="s">
        <v>568</v>
      </c>
      <c r="I29" s="276" t="s">
        <v>476</v>
      </c>
    </row>
    <row r="30" spans="1:9" ht="12.75">
      <c r="A30" s="240"/>
      <c r="E30" s="268" t="s">
        <v>570</v>
      </c>
      <c r="I30" s="276" t="s">
        <v>477</v>
      </c>
    </row>
    <row r="31" spans="1:9" ht="13.5" thickBot="1">
      <c r="A31" s="248" t="s">
        <v>403</v>
      </c>
      <c r="E31" s="235" t="s">
        <v>534</v>
      </c>
      <c r="I31" s="276" t="s">
        <v>478</v>
      </c>
    </row>
    <row r="32" spans="1:9" ht="14.25" thickBot="1" thickTop="1">
      <c r="A32" s="240"/>
      <c r="E32" s="256" t="s">
        <v>535</v>
      </c>
      <c r="I32" s="276" t="s">
        <v>479</v>
      </c>
    </row>
    <row r="33" spans="1:9" ht="13.5" thickTop="1">
      <c r="A33" s="256" t="s">
        <v>404</v>
      </c>
      <c r="E33" s="237" t="s">
        <v>536</v>
      </c>
      <c r="I33" s="276" t="s">
        <v>480</v>
      </c>
    </row>
    <row r="34" spans="1:9" ht="12.75">
      <c r="A34" s="237" t="s">
        <v>405</v>
      </c>
      <c r="E34" s="237" t="s">
        <v>539</v>
      </c>
      <c r="I34" s="276" t="s">
        <v>481</v>
      </c>
    </row>
    <row r="35" spans="1:9" ht="12.75">
      <c r="A35" s="237" t="s">
        <v>438</v>
      </c>
      <c r="E35" s="237" t="s">
        <v>540</v>
      </c>
      <c r="I35" s="240"/>
    </row>
    <row r="36" spans="1:9" ht="12.75">
      <c r="A36" s="237" t="s">
        <v>406</v>
      </c>
      <c r="E36" s="237" t="s">
        <v>538</v>
      </c>
      <c r="I36" s="248" t="s">
        <v>555</v>
      </c>
    </row>
    <row r="37" spans="1:9" ht="13.5" thickBot="1">
      <c r="A37" s="237" t="s">
        <v>407</v>
      </c>
      <c r="E37" s="237" t="s">
        <v>537</v>
      </c>
      <c r="I37" s="240"/>
    </row>
    <row r="38" spans="1:9" ht="13.5" thickTop="1">
      <c r="A38" s="237" t="s">
        <v>408</v>
      </c>
      <c r="E38" s="237" t="s">
        <v>541</v>
      </c>
      <c r="I38" s="275" t="s">
        <v>495</v>
      </c>
    </row>
    <row r="39" spans="1:9" ht="12.75">
      <c r="A39" s="240"/>
      <c r="E39" s="237" t="s">
        <v>542</v>
      </c>
      <c r="I39" s="276" t="s">
        <v>583</v>
      </c>
    </row>
    <row r="40" spans="1:9" ht="12.75">
      <c r="A40" s="248" t="s">
        <v>409</v>
      </c>
      <c r="E40" s="237" t="s">
        <v>543</v>
      </c>
      <c r="I40" s="276" t="s">
        <v>585</v>
      </c>
    </row>
    <row r="41" spans="1:9" ht="13.5" thickBot="1">
      <c r="A41" s="240"/>
      <c r="E41" s="237" t="s">
        <v>544</v>
      </c>
      <c r="I41" s="276" t="s">
        <v>588</v>
      </c>
    </row>
    <row r="42" spans="1:9" ht="13.5" thickTop="1">
      <c r="A42" s="256" t="s">
        <v>410</v>
      </c>
      <c r="E42" s="237" t="s">
        <v>545</v>
      </c>
      <c r="I42" s="282" t="s">
        <v>590</v>
      </c>
    </row>
    <row r="43" spans="1:9" ht="12.75">
      <c r="A43" s="237" t="s">
        <v>411</v>
      </c>
      <c r="E43" s="237" t="s">
        <v>548</v>
      </c>
      <c r="I43" s="276" t="s">
        <v>584</v>
      </c>
    </row>
    <row r="44" spans="1:9" ht="13.5" thickBot="1">
      <c r="A44" s="237" t="s">
        <v>618</v>
      </c>
      <c r="E44" s="235" t="s">
        <v>549</v>
      </c>
      <c r="I44" s="276" t="s">
        <v>586</v>
      </c>
    </row>
    <row r="45" spans="1:9" ht="12.75">
      <c r="A45" s="237" t="s">
        <v>413</v>
      </c>
      <c r="E45" s="271" t="s">
        <v>561</v>
      </c>
      <c r="I45" s="276" t="s">
        <v>587</v>
      </c>
    </row>
    <row r="46" spans="1:9" ht="12.75">
      <c r="A46" s="237" t="s">
        <v>414</v>
      </c>
      <c r="E46" s="237" t="s">
        <v>552</v>
      </c>
      <c r="I46" s="276" t="s">
        <v>496</v>
      </c>
    </row>
    <row r="47" spans="1:9" ht="12.75">
      <c r="A47" s="237" t="s">
        <v>415</v>
      </c>
      <c r="E47" s="237" t="s">
        <v>554</v>
      </c>
      <c r="I47" s="276" t="s">
        <v>612</v>
      </c>
    </row>
    <row r="48" spans="1:9" ht="13.5" thickBot="1">
      <c r="A48" s="237" t="s">
        <v>416</v>
      </c>
      <c r="E48" s="235" t="s">
        <v>579</v>
      </c>
      <c r="I48" s="282" t="s">
        <v>589</v>
      </c>
    </row>
    <row r="49" spans="1:9" ht="13.5" thickTop="1">
      <c r="A49" s="237" t="s">
        <v>417</v>
      </c>
      <c r="E49" s="256" t="s">
        <v>575</v>
      </c>
      <c r="I49" s="240"/>
    </row>
    <row r="50" spans="1:9" ht="12.75">
      <c r="A50" s="237" t="s">
        <v>418</v>
      </c>
      <c r="E50" s="237" t="s">
        <v>578</v>
      </c>
      <c r="I50" s="248" t="s">
        <v>336</v>
      </c>
    </row>
    <row r="51" spans="1:9" ht="13.5" thickBot="1">
      <c r="A51" s="237" t="s">
        <v>419</v>
      </c>
      <c r="E51" s="237" t="s">
        <v>577</v>
      </c>
      <c r="I51" s="240"/>
    </row>
    <row r="52" spans="1:9" ht="13.5" thickTop="1">
      <c r="A52" s="237" t="s">
        <v>547</v>
      </c>
      <c r="E52" s="237" t="s">
        <v>576</v>
      </c>
      <c r="I52" s="256" t="s">
        <v>501</v>
      </c>
    </row>
    <row r="53" spans="1:9" ht="13.5" thickBot="1">
      <c r="A53" s="237" t="s">
        <v>420</v>
      </c>
      <c r="E53" s="235" t="s">
        <v>580</v>
      </c>
      <c r="I53" s="237" t="s">
        <v>500</v>
      </c>
    </row>
    <row r="54" spans="1:9" ht="12.75">
      <c r="A54" s="240"/>
      <c r="E54" s="271" t="s">
        <v>550</v>
      </c>
      <c r="I54" s="237" t="s">
        <v>499</v>
      </c>
    </row>
    <row r="55" spans="1:9" ht="12.75">
      <c r="A55" s="248" t="s">
        <v>421</v>
      </c>
      <c r="E55" s="237" t="s">
        <v>553</v>
      </c>
      <c r="I55" s="237" t="s">
        <v>498</v>
      </c>
    </row>
    <row r="56" spans="1:9" ht="13.5" thickBot="1">
      <c r="A56" s="240"/>
      <c r="E56" s="237" t="s">
        <v>551</v>
      </c>
      <c r="I56" s="237" t="s">
        <v>497</v>
      </c>
    </row>
    <row r="57" spans="1:9" ht="13.5" customHeight="1" thickTop="1">
      <c r="A57" s="256" t="s">
        <v>422</v>
      </c>
      <c r="E57" s="240"/>
      <c r="I57" s="237" t="s">
        <v>502</v>
      </c>
    </row>
    <row r="58" spans="1:9" ht="13.5" customHeight="1">
      <c r="A58" s="237" t="s">
        <v>423</v>
      </c>
      <c r="E58" s="238" t="s">
        <v>437</v>
      </c>
      <c r="I58" s="237" t="s">
        <v>503</v>
      </c>
    </row>
    <row r="59" spans="1:9" ht="13.5" customHeight="1" thickBot="1">
      <c r="A59" s="237" t="s">
        <v>424</v>
      </c>
      <c r="E59" s="240"/>
      <c r="I59" s="237" t="s">
        <v>557</v>
      </c>
    </row>
    <row r="60" spans="1:9" ht="13.5" thickTop="1">
      <c r="A60" s="237" t="s">
        <v>425</v>
      </c>
      <c r="E60" s="256" t="s">
        <v>439</v>
      </c>
      <c r="I60" s="237" t="s">
        <v>504</v>
      </c>
    </row>
    <row r="61" spans="1:9" ht="12.75">
      <c r="A61" s="237" t="s">
        <v>426</v>
      </c>
      <c r="E61" s="237" t="s">
        <v>440</v>
      </c>
      <c r="I61" s="237" t="s">
        <v>505</v>
      </c>
    </row>
    <row r="62" spans="1:9" ht="12.75">
      <c r="A62" s="237" t="s">
        <v>427</v>
      </c>
      <c r="E62" s="237" t="s">
        <v>441</v>
      </c>
      <c r="I62" s="237" t="s">
        <v>507</v>
      </c>
    </row>
    <row r="63" spans="1:9" ht="12.75">
      <c r="A63" s="237" t="s">
        <v>428</v>
      </c>
      <c r="E63" s="237" t="s">
        <v>181</v>
      </c>
      <c r="I63" s="237" t="s">
        <v>506</v>
      </c>
    </row>
    <row r="64" spans="1:9" ht="12.75">
      <c r="A64" s="237" t="s">
        <v>429</v>
      </c>
      <c r="E64" s="237" t="s">
        <v>442</v>
      </c>
      <c r="I64" s="237" t="s">
        <v>508</v>
      </c>
    </row>
    <row r="65" spans="1:9" ht="12.75">
      <c r="A65" s="263" t="s">
        <v>430</v>
      </c>
      <c r="E65" s="237" t="s">
        <v>443</v>
      </c>
      <c r="I65" s="237" t="s">
        <v>581</v>
      </c>
    </row>
    <row r="66" spans="1:9" ht="12.75">
      <c r="A66" s="265" t="s">
        <v>431</v>
      </c>
      <c r="E66" s="237" t="s">
        <v>444</v>
      </c>
      <c r="I66" s="237" t="s">
        <v>509</v>
      </c>
    </row>
    <row r="67" spans="1:9" ht="12.75">
      <c r="A67" s="265" t="s">
        <v>432</v>
      </c>
      <c r="E67" s="237" t="s">
        <v>445</v>
      </c>
      <c r="I67" s="237" t="s">
        <v>510</v>
      </c>
    </row>
    <row r="68" spans="1:9" ht="12.75">
      <c r="A68" s="265" t="s">
        <v>433</v>
      </c>
      <c r="E68" s="237" t="s">
        <v>470</v>
      </c>
      <c r="I68" s="237" t="s">
        <v>511</v>
      </c>
    </row>
    <row r="69" spans="1:9" ht="12.75">
      <c r="A69" s="265" t="s">
        <v>434</v>
      </c>
      <c r="E69" s="237" t="s">
        <v>610</v>
      </c>
      <c r="I69" s="237" t="s">
        <v>513</v>
      </c>
    </row>
    <row r="70" spans="1:9" ht="12.75">
      <c r="A70" s="265" t="s">
        <v>435</v>
      </c>
      <c r="E70" s="237" t="s">
        <v>446</v>
      </c>
      <c r="I70" s="237" t="s">
        <v>512</v>
      </c>
    </row>
    <row r="71" spans="1:9" ht="12.75">
      <c r="A71" s="265"/>
      <c r="E71" s="237" t="s">
        <v>447</v>
      </c>
      <c r="I71" s="237" t="s">
        <v>514</v>
      </c>
    </row>
    <row r="72" spans="1:9" ht="12.75">
      <c r="A72" s="265"/>
      <c r="E72" s="237" t="s">
        <v>448</v>
      </c>
      <c r="I72" s="237" t="s">
        <v>515</v>
      </c>
    </row>
    <row r="73" spans="5:9" ht="12.75">
      <c r="E73" s="240"/>
      <c r="I73" s="240"/>
    </row>
    <row r="74" spans="5:9" ht="12.75">
      <c r="E74" s="248" t="s">
        <v>449</v>
      </c>
      <c r="I74" s="248" t="s">
        <v>592</v>
      </c>
    </row>
    <row r="75" spans="5:9" ht="13.5" thickBot="1">
      <c r="E75" s="240"/>
      <c r="I75" s="240"/>
    </row>
    <row r="76" spans="5:9" ht="13.5" thickTop="1">
      <c r="E76" s="256" t="s">
        <v>450</v>
      </c>
      <c r="I76" s="275" t="s">
        <v>593</v>
      </c>
    </row>
    <row r="77" spans="5:9" ht="12.75">
      <c r="E77" s="237" t="s">
        <v>451</v>
      </c>
      <c r="I77" s="276" t="s">
        <v>594</v>
      </c>
    </row>
    <row r="78" spans="5:9" ht="12.75">
      <c r="E78" s="237" t="s">
        <v>453</v>
      </c>
      <c r="I78" s="276" t="s">
        <v>595</v>
      </c>
    </row>
    <row r="79" spans="5:9" ht="12.75">
      <c r="E79" s="237" t="s">
        <v>452</v>
      </c>
      <c r="I79" s="276" t="s">
        <v>596</v>
      </c>
    </row>
    <row r="80" spans="5:9" ht="12.75">
      <c r="E80" s="237" t="s">
        <v>454</v>
      </c>
      <c r="I80" s="276" t="s">
        <v>597</v>
      </c>
    </row>
    <row r="81" spans="5:9" ht="12.75">
      <c r="E81" s="237" t="s">
        <v>455</v>
      </c>
      <c r="I81" s="276" t="s">
        <v>598</v>
      </c>
    </row>
    <row r="82" spans="5:9" ht="12.75">
      <c r="E82" s="237" t="s">
        <v>456</v>
      </c>
      <c r="I82" s="276" t="s">
        <v>599</v>
      </c>
    </row>
    <row r="83" spans="5:9" ht="12.75">
      <c r="E83" s="237" t="s">
        <v>457</v>
      </c>
      <c r="I83" s="276" t="s">
        <v>600</v>
      </c>
    </row>
    <row r="84" spans="5:9" ht="12.75">
      <c r="E84" s="237" t="s">
        <v>458</v>
      </c>
      <c r="I84" s="276" t="s">
        <v>601</v>
      </c>
    </row>
    <row r="85" spans="5:9" ht="12.75">
      <c r="E85" s="237" t="s">
        <v>459</v>
      </c>
      <c r="I85" s="276" t="s">
        <v>613</v>
      </c>
    </row>
    <row r="86" spans="5:9" ht="12.75">
      <c r="E86" s="237" t="s">
        <v>460</v>
      </c>
      <c r="I86" s="276" t="s">
        <v>602</v>
      </c>
    </row>
    <row r="87" spans="5:9" ht="12.75">
      <c r="E87" s="237" t="s">
        <v>461</v>
      </c>
      <c r="I87" s="276" t="s">
        <v>603</v>
      </c>
    </row>
    <row r="88" spans="5:9" ht="12.75">
      <c r="E88" s="237" t="s">
        <v>462</v>
      </c>
      <c r="I88" s="276" t="s">
        <v>604</v>
      </c>
    </row>
    <row r="89" spans="5:9" ht="12.75">
      <c r="E89" s="237" t="s">
        <v>463</v>
      </c>
      <c r="I89" s="276" t="s">
        <v>605</v>
      </c>
    </row>
    <row r="90" spans="5:9" ht="12.75">
      <c r="E90" s="237" t="s">
        <v>464</v>
      </c>
      <c r="I90" s="276" t="s">
        <v>606</v>
      </c>
    </row>
    <row r="91" spans="5:9" ht="12.75">
      <c r="E91" s="237" t="s">
        <v>465</v>
      </c>
      <c r="I91" s="276" t="s">
        <v>607</v>
      </c>
    </row>
    <row r="92" spans="5:9" ht="12.75">
      <c r="E92" s="237" t="s">
        <v>466</v>
      </c>
      <c r="I92" s="276" t="s">
        <v>608</v>
      </c>
    </row>
    <row r="93" spans="5:9" ht="12.75">
      <c r="E93" s="237" t="s">
        <v>467</v>
      </c>
      <c r="I93" s="276" t="s">
        <v>609</v>
      </c>
    </row>
    <row r="94" spans="5:9" ht="12.75">
      <c r="E94" s="260" t="s">
        <v>468</v>
      </c>
      <c r="I94" s="276" t="s">
        <v>614</v>
      </c>
    </row>
    <row r="95" ht="12.75">
      <c r="E95" s="240"/>
    </row>
    <row r="96" ht="12.75">
      <c r="E96" s="240"/>
    </row>
    <row r="97" ht="12.75">
      <c r="E97" s="240"/>
    </row>
    <row r="98" ht="12.75">
      <c r="E98" s="240"/>
    </row>
    <row r="99" ht="12.75">
      <c r="E99" s="240"/>
    </row>
    <row r="100" ht="12.75">
      <c r="E100" s="240"/>
    </row>
    <row r="101" ht="12.75">
      <c r="E101" s="240"/>
    </row>
    <row r="102" ht="12.75">
      <c r="E102" s="240"/>
    </row>
    <row r="103" ht="12.75">
      <c r="E103" s="240"/>
    </row>
    <row r="104" ht="12.75">
      <c r="E104" s="235"/>
    </row>
    <row r="105" ht="12.75">
      <c r="E105" s="240"/>
    </row>
    <row r="106" ht="12.75">
      <c r="E106" s="240"/>
    </row>
    <row r="107" ht="12.75">
      <c r="E107" s="240"/>
    </row>
    <row r="108" ht="12.75">
      <c r="E108" s="240"/>
    </row>
    <row r="109" ht="12.75">
      <c r="E109" s="240"/>
    </row>
    <row r="110" ht="12.75">
      <c r="E110" s="240"/>
    </row>
    <row r="111" ht="12.75">
      <c r="E111" s="240"/>
    </row>
    <row r="112" ht="12.75">
      <c r="E112" s="240"/>
    </row>
    <row r="113" ht="12.75">
      <c r="E113" s="235"/>
    </row>
    <row r="114" ht="12.75">
      <c r="E114" s="240"/>
    </row>
    <row r="115" ht="12.75">
      <c r="E115" s="240"/>
    </row>
    <row r="116" ht="12.75">
      <c r="E116" s="240"/>
    </row>
    <row r="117" ht="12.75">
      <c r="E117" s="240"/>
    </row>
    <row r="118" ht="12.75">
      <c r="E118" s="240"/>
    </row>
    <row r="119" ht="12.75">
      <c r="E119" s="240"/>
    </row>
    <row r="120" ht="12.75">
      <c r="E120" s="240"/>
    </row>
    <row r="121" ht="12.75">
      <c r="E121" s="240"/>
    </row>
    <row r="122" ht="12.75">
      <c r="E122" s="240"/>
    </row>
    <row r="123" ht="12.75">
      <c r="E123" s="240"/>
    </row>
    <row r="124" ht="12.75">
      <c r="E124" s="240"/>
    </row>
    <row r="125" ht="12.75">
      <c r="E125" s="240"/>
    </row>
    <row r="126" ht="12.75">
      <c r="E126" s="235"/>
    </row>
    <row r="127" ht="12.75">
      <c r="E127" s="240"/>
    </row>
    <row r="128" ht="12.75">
      <c r="E128" s="240"/>
    </row>
    <row r="129" ht="12.75">
      <c r="E129" s="240"/>
    </row>
    <row r="130" ht="12.75">
      <c r="E130" s="240"/>
    </row>
    <row r="131" ht="12.75">
      <c r="E131" s="240"/>
    </row>
    <row r="132" ht="12.75">
      <c r="E132" s="240"/>
    </row>
    <row r="133" ht="12.75">
      <c r="E133" s="242"/>
    </row>
    <row r="134" ht="12.75">
      <c r="E134" s="242"/>
    </row>
    <row r="135" ht="12.75">
      <c r="E135" s="242"/>
    </row>
    <row r="136" ht="12.75">
      <c r="E136" s="242"/>
    </row>
    <row r="137" ht="12.75">
      <c r="E137" s="242"/>
    </row>
    <row r="138" ht="12.75">
      <c r="E138" s="242"/>
    </row>
    <row r="139" ht="12.75">
      <c r="E139" s="242"/>
    </row>
    <row r="140" ht="12.75">
      <c r="E140" s="242"/>
    </row>
    <row r="141" ht="12.75">
      <c r="E141" s="242"/>
    </row>
    <row r="142" ht="12.75">
      <c r="E142" s="242"/>
    </row>
    <row r="143" ht="12.75">
      <c r="E143" s="242"/>
    </row>
    <row r="144" ht="12.75">
      <c r="E144" s="242"/>
    </row>
    <row r="145" ht="12.75">
      <c r="E145" s="242"/>
    </row>
    <row r="146" ht="12.75">
      <c r="E146" s="242"/>
    </row>
    <row r="147" ht="12.75">
      <c r="E147" s="242"/>
    </row>
    <row r="148" ht="12.75">
      <c r="E148" s="242"/>
    </row>
    <row r="149" ht="12.75">
      <c r="E149" s="242"/>
    </row>
    <row r="150" ht="12.75">
      <c r="E150" s="242"/>
    </row>
    <row r="151" ht="12.75">
      <c r="E151" s="242"/>
    </row>
    <row r="152" ht="12.75">
      <c r="E152" s="242"/>
    </row>
    <row r="153" ht="12.75">
      <c r="E153" s="242"/>
    </row>
    <row r="154" ht="12.75">
      <c r="E154" s="242"/>
    </row>
    <row r="155" ht="12.75">
      <c r="E155" s="242"/>
    </row>
    <row r="156" ht="12.75">
      <c r="E156" s="242"/>
    </row>
    <row r="157" ht="12.75">
      <c r="E157" s="242"/>
    </row>
    <row r="158" ht="12.75">
      <c r="E158" s="242"/>
    </row>
    <row r="159" ht="12.75">
      <c r="E159" s="242"/>
    </row>
    <row r="160" ht="12.75">
      <c r="E160" s="242"/>
    </row>
    <row r="161" ht="12.75">
      <c r="E161" s="242"/>
    </row>
    <row r="162" ht="12.75">
      <c r="E162" s="242"/>
    </row>
    <row r="163" ht="12.75">
      <c r="E163" s="242"/>
    </row>
    <row r="164" ht="12.75">
      <c r="E164" s="242"/>
    </row>
    <row r="165" ht="12.75">
      <c r="E165" s="242"/>
    </row>
    <row r="166" ht="12.75">
      <c r="E166" s="242"/>
    </row>
    <row r="167" ht="12.75">
      <c r="E167" s="242"/>
    </row>
    <row r="168" ht="12.75">
      <c r="E168" s="242"/>
    </row>
    <row r="169" ht="12.75">
      <c r="E169" s="242"/>
    </row>
    <row r="170" ht="12.75">
      <c r="E170" s="242"/>
    </row>
    <row r="171" ht="12.75">
      <c r="E171" s="242"/>
    </row>
    <row r="172" ht="12.75">
      <c r="E172" s="242"/>
    </row>
    <row r="173" ht="12.75">
      <c r="E173" s="242"/>
    </row>
    <row r="174" ht="12.75">
      <c r="E174" s="242"/>
    </row>
    <row r="175" ht="12.75">
      <c r="E175" s="242"/>
    </row>
    <row r="176" ht="12.75">
      <c r="E176" s="242"/>
    </row>
    <row r="177" ht="12.75">
      <c r="E177" s="242"/>
    </row>
    <row r="178" ht="12.75">
      <c r="E178" s="242"/>
    </row>
    <row r="179" ht="12.75">
      <c r="E179" s="242"/>
    </row>
    <row r="180" ht="12.75">
      <c r="E180" s="242"/>
    </row>
    <row r="181" ht="12.75">
      <c r="E181" s="242"/>
    </row>
    <row r="182" ht="12.75">
      <c r="E182" s="242"/>
    </row>
    <row r="183" ht="12.75">
      <c r="E183" s="242"/>
    </row>
    <row r="184" ht="12.75">
      <c r="E184" s="242"/>
    </row>
    <row r="185" ht="12.75">
      <c r="E185" s="242"/>
    </row>
    <row r="186" ht="12.75">
      <c r="E186" s="242"/>
    </row>
    <row r="187" ht="12.75">
      <c r="E187" s="242"/>
    </row>
    <row r="188" ht="12.75">
      <c r="E188" s="242"/>
    </row>
    <row r="189" ht="12.75">
      <c r="E189" s="242"/>
    </row>
    <row r="190" ht="12.75">
      <c r="E190" s="242"/>
    </row>
    <row r="191" ht="12.75">
      <c r="E191" s="242"/>
    </row>
    <row r="192" ht="12.75">
      <c r="E192" s="242"/>
    </row>
    <row r="193" ht="12.75">
      <c r="E193" s="242"/>
    </row>
    <row r="194" ht="12.75">
      <c r="E194" s="242"/>
    </row>
    <row r="195" ht="12.75">
      <c r="E195" s="242"/>
    </row>
    <row r="196" ht="12.75">
      <c r="E196" s="242"/>
    </row>
    <row r="197" ht="12.75">
      <c r="E197" s="242"/>
    </row>
    <row r="198" ht="12.75">
      <c r="E198" s="242"/>
    </row>
    <row r="199" ht="12.75">
      <c r="E199" s="242"/>
    </row>
    <row r="200" ht="12.75">
      <c r="E200" s="242"/>
    </row>
    <row r="201" ht="12.75">
      <c r="E201" s="242"/>
    </row>
    <row r="202" ht="12.75">
      <c r="E202" s="242"/>
    </row>
    <row r="203" ht="12.75">
      <c r="E203" s="242"/>
    </row>
    <row r="204" ht="12.75">
      <c r="E204" s="242"/>
    </row>
    <row r="205" ht="12.75">
      <c r="E205" s="242"/>
    </row>
    <row r="206" ht="12.75">
      <c r="E206" s="242"/>
    </row>
    <row r="207" ht="12.75">
      <c r="E207" s="242"/>
    </row>
    <row r="208" ht="12.75">
      <c r="E208" s="242"/>
    </row>
    <row r="209" ht="12.75">
      <c r="E209" s="242"/>
    </row>
    <row r="210" ht="12.75">
      <c r="E210" s="242"/>
    </row>
    <row r="211" ht="12.75">
      <c r="E211" s="242"/>
    </row>
    <row r="212" ht="12.75">
      <c r="E212" s="242"/>
    </row>
    <row r="213" ht="12.75">
      <c r="E213" s="242"/>
    </row>
    <row r="214" ht="12.75">
      <c r="E214" s="242"/>
    </row>
    <row r="215" ht="12.75">
      <c r="E215" s="242"/>
    </row>
    <row r="216" ht="12.75">
      <c r="E216" s="242"/>
    </row>
    <row r="217" ht="12.75">
      <c r="E217" s="242"/>
    </row>
    <row r="218" ht="12.75">
      <c r="E218" s="242"/>
    </row>
    <row r="219" ht="12.75">
      <c r="E219" s="242"/>
    </row>
    <row r="220" ht="12.75">
      <c r="E220" s="242"/>
    </row>
    <row r="221" ht="12.75">
      <c r="E221" s="242"/>
    </row>
    <row r="222" ht="12.75">
      <c r="E222" s="242"/>
    </row>
    <row r="223" ht="12.75">
      <c r="E223" s="242"/>
    </row>
    <row r="224" ht="12.75">
      <c r="E224" s="242"/>
    </row>
    <row r="225" ht="12.75">
      <c r="E225" s="242"/>
    </row>
    <row r="226" ht="12.75">
      <c r="E226" s="242"/>
    </row>
    <row r="227" ht="12.75">
      <c r="E227" s="242"/>
    </row>
    <row r="228" ht="12.75">
      <c r="E228" s="242"/>
    </row>
    <row r="229" ht="12.75">
      <c r="E229" s="242"/>
    </row>
    <row r="230" ht="12.75">
      <c r="E230" s="242"/>
    </row>
    <row r="231" ht="12.75">
      <c r="E231" s="242"/>
    </row>
    <row r="232" ht="12.75">
      <c r="E232" s="242"/>
    </row>
    <row r="233" ht="12.75">
      <c r="E233" s="242"/>
    </row>
    <row r="234" ht="12.75">
      <c r="E234" s="242"/>
    </row>
    <row r="235" ht="12.75">
      <c r="E235" s="242"/>
    </row>
    <row r="236" ht="12.75">
      <c r="E236" s="242"/>
    </row>
    <row r="237" ht="12.75">
      <c r="E237" s="242"/>
    </row>
    <row r="238" ht="12.75">
      <c r="E238" s="242"/>
    </row>
    <row r="239" ht="12.75">
      <c r="E239" s="242"/>
    </row>
    <row r="240" ht="12.75">
      <c r="E240" s="242"/>
    </row>
    <row r="241" ht="12.75">
      <c r="E241" s="242"/>
    </row>
    <row r="242" ht="12.75">
      <c r="E242" s="242"/>
    </row>
    <row r="243" ht="12.75">
      <c r="E243" s="242"/>
    </row>
    <row r="244" ht="12.75">
      <c r="E244" s="242"/>
    </row>
    <row r="245" ht="12.75">
      <c r="E245" s="242"/>
    </row>
    <row r="246" ht="12.75">
      <c r="E246" s="242"/>
    </row>
    <row r="247" ht="12.75">
      <c r="E247" s="242"/>
    </row>
    <row r="248" ht="12.75">
      <c r="E248" s="242"/>
    </row>
    <row r="249" ht="12.75">
      <c r="E249" s="242"/>
    </row>
    <row r="250" ht="12.75">
      <c r="E250" s="242"/>
    </row>
    <row r="251" ht="12.75">
      <c r="E251" s="242"/>
    </row>
    <row r="252" ht="12.75">
      <c r="E252" s="242"/>
    </row>
    <row r="253" ht="12.75">
      <c r="E253" s="242"/>
    </row>
    <row r="254" ht="12.75">
      <c r="E254" s="242"/>
    </row>
    <row r="255" ht="12.75">
      <c r="E255" s="242"/>
    </row>
    <row r="256" ht="12.75">
      <c r="E256" s="242"/>
    </row>
    <row r="257" ht="12.75">
      <c r="E257" s="242"/>
    </row>
    <row r="258" ht="12.75">
      <c r="E258" s="242"/>
    </row>
    <row r="259" ht="12.75">
      <c r="E259" s="242"/>
    </row>
    <row r="260" ht="12.75">
      <c r="E260" s="242"/>
    </row>
    <row r="261" ht="12.75">
      <c r="E261" s="242"/>
    </row>
    <row r="262" ht="12.75">
      <c r="E262" s="242"/>
    </row>
    <row r="263" ht="12.75">
      <c r="E263" s="242"/>
    </row>
    <row r="264" ht="12.75">
      <c r="E264" s="242"/>
    </row>
    <row r="265" ht="12.75">
      <c r="E265" s="242"/>
    </row>
    <row r="266" ht="12.75">
      <c r="E266" s="242"/>
    </row>
    <row r="267" ht="12.75">
      <c r="E267" s="242"/>
    </row>
    <row r="268" ht="12.75">
      <c r="E268" s="242"/>
    </row>
    <row r="269" ht="12.75">
      <c r="E269" s="242"/>
    </row>
    <row r="270" ht="12.75">
      <c r="E270" s="242"/>
    </row>
    <row r="271" ht="12.75">
      <c r="E271" s="242"/>
    </row>
    <row r="272" ht="12.75">
      <c r="E272" s="242"/>
    </row>
    <row r="273" ht="12.75">
      <c r="E273" s="242"/>
    </row>
    <row r="274" ht="12.75">
      <c r="E274" s="242"/>
    </row>
    <row r="275" ht="12.75">
      <c r="E275" s="242"/>
    </row>
    <row r="276" ht="12.75">
      <c r="E276" s="242"/>
    </row>
    <row r="277" ht="12.75">
      <c r="E277" s="242"/>
    </row>
    <row r="278" ht="12.75">
      <c r="E278" s="242"/>
    </row>
    <row r="279" ht="12.75">
      <c r="E279" s="242"/>
    </row>
    <row r="280" ht="12.75">
      <c r="E280" s="242"/>
    </row>
    <row r="281" ht="12.75">
      <c r="E281" s="242"/>
    </row>
    <row r="282" ht="12.75">
      <c r="E282" s="242"/>
    </row>
    <row r="283" ht="12.75">
      <c r="E283" s="242"/>
    </row>
    <row r="284" ht="12.75">
      <c r="E284" s="242"/>
    </row>
    <row r="285" ht="12.75">
      <c r="E285" s="242"/>
    </row>
    <row r="286" ht="12.75">
      <c r="E286" s="242"/>
    </row>
    <row r="287" ht="12.75">
      <c r="E287" s="242"/>
    </row>
    <row r="288" ht="12.75">
      <c r="E288" s="242"/>
    </row>
    <row r="289" ht="12.75">
      <c r="E289" s="242"/>
    </row>
    <row r="290" ht="12.75">
      <c r="E290" s="242"/>
    </row>
    <row r="291" ht="12.75">
      <c r="E291" s="242"/>
    </row>
    <row r="292" ht="12.75">
      <c r="E292" s="242"/>
    </row>
    <row r="293" ht="12.75">
      <c r="E293" s="242"/>
    </row>
    <row r="294" ht="12.75">
      <c r="E294" s="242"/>
    </row>
    <row r="295" ht="12.75">
      <c r="E295" s="242"/>
    </row>
    <row r="296" ht="12.75">
      <c r="E296" s="242"/>
    </row>
    <row r="297" ht="12.75">
      <c r="E297" s="242"/>
    </row>
    <row r="298" ht="12.75">
      <c r="E298" s="242"/>
    </row>
    <row r="299" ht="12.75">
      <c r="E299" s="242"/>
    </row>
    <row r="300" ht="12.75">
      <c r="E300" s="242"/>
    </row>
    <row r="301" ht="12.75">
      <c r="E301" s="242"/>
    </row>
    <row r="302" ht="12.75">
      <c r="E302" s="242"/>
    </row>
    <row r="303" ht="12.75">
      <c r="E303" s="242"/>
    </row>
    <row r="304" ht="12.75">
      <c r="E304" s="242"/>
    </row>
    <row r="305" ht="12.75">
      <c r="E305" s="242"/>
    </row>
    <row r="306" ht="12.75">
      <c r="E306" s="242"/>
    </row>
    <row r="307" ht="12.75">
      <c r="E307" s="242"/>
    </row>
    <row r="308" ht="12.75">
      <c r="E308" s="242"/>
    </row>
    <row r="309" ht="12.75">
      <c r="E309" s="242"/>
    </row>
    <row r="310" ht="12.75">
      <c r="E310" s="242"/>
    </row>
    <row r="311" ht="12.75">
      <c r="E311" s="242"/>
    </row>
    <row r="312" ht="12.75">
      <c r="E312" s="242"/>
    </row>
    <row r="313" ht="12.75">
      <c r="E313" s="242"/>
    </row>
    <row r="314" ht="12.75">
      <c r="E314" s="242"/>
    </row>
    <row r="315" ht="12.75">
      <c r="E315" s="242"/>
    </row>
    <row r="316" ht="12.75">
      <c r="E316" s="242"/>
    </row>
    <row r="317" ht="12.75">
      <c r="E317" s="242"/>
    </row>
    <row r="318" ht="12.75">
      <c r="E318" s="242"/>
    </row>
    <row r="319" ht="12.75">
      <c r="E319" s="242"/>
    </row>
    <row r="320" ht="12.75">
      <c r="E320" s="242"/>
    </row>
    <row r="321" ht="12.75">
      <c r="E321" s="242"/>
    </row>
    <row r="322" ht="12.75">
      <c r="E322" s="242"/>
    </row>
    <row r="323" ht="12.75">
      <c r="E323" s="242"/>
    </row>
    <row r="324" ht="12.75">
      <c r="E324" s="242"/>
    </row>
    <row r="325" ht="12.75">
      <c r="E325" s="242"/>
    </row>
    <row r="326" ht="12.75">
      <c r="E326" s="242"/>
    </row>
    <row r="327" ht="12.75">
      <c r="E327" s="242"/>
    </row>
    <row r="328" ht="12.75">
      <c r="E328" s="242"/>
    </row>
    <row r="329" ht="12.75">
      <c r="E329" s="242"/>
    </row>
    <row r="330" ht="12.75">
      <c r="E330" s="242"/>
    </row>
    <row r="331" ht="12.75">
      <c r="E331" s="242"/>
    </row>
    <row r="332" ht="12.75">
      <c r="E332" s="242"/>
    </row>
    <row r="333" ht="12.75">
      <c r="E333" s="242"/>
    </row>
    <row r="334" ht="12.75">
      <c r="E334" s="242"/>
    </row>
    <row r="335" ht="12.75">
      <c r="E335" s="242"/>
    </row>
    <row r="336" ht="12.75">
      <c r="E336" s="242"/>
    </row>
    <row r="337" ht="12.75">
      <c r="E337" s="242"/>
    </row>
    <row r="338" ht="12.75">
      <c r="E338" s="242"/>
    </row>
    <row r="339" ht="12.75">
      <c r="E339" s="242"/>
    </row>
    <row r="340" ht="12.75">
      <c r="E340" s="242"/>
    </row>
    <row r="341" ht="12.75">
      <c r="E341" s="242"/>
    </row>
    <row r="342" ht="12.75">
      <c r="E342" s="242"/>
    </row>
    <row r="343" ht="12.75">
      <c r="E343" s="242"/>
    </row>
    <row r="344" ht="12.75">
      <c r="E344" s="242"/>
    </row>
    <row r="345" ht="12.75">
      <c r="E345" s="242"/>
    </row>
    <row r="346" ht="12.75">
      <c r="E346" s="242"/>
    </row>
    <row r="347" ht="12.75">
      <c r="E347" s="242"/>
    </row>
    <row r="348" ht="12.75">
      <c r="E348" s="242"/>
    </row>
    <row r="349" ht="12.75">
      <c r="E349" s="242"/>
    </row>
    <row r="350" ht="12.75">
      <c r="E350" s="242"/>
    </row>
    <row r="351" ht="12.75">
      <c r="E351" s="242"/>
    </row>
    <row r="352" ht="12.75">
      <c r="E352" s="242"/>
    </row>
    <row r="353" ht="12.75">
      <c r="E353" s="242"/>
    </row>
    <row r="354" ht="12.75">
      <c r="E354" s="242"/>
    </row>
    <row r="355" ht="12.75">
      <c r="E355" s="242"/>
    </row>
    <row r="356" ht="12.75">
      <c r="E356" s="242"/>
    </row>
    <row r="357" ht="12.75">
      <c r="E357" s="242"/>
    </row>
    <row r="358" ht="12.75">
      <c r="E358" s="242"/>
    </row>
    <row r="359" ht="12.75">
      <c r="E359" s="242"/>
    </row>
    <row r="360" ht="12.75">
      <c r="E360" s="242"/>
    </row>
    <row r="361" ht="12.75">
      <c r="E361" s="242"/>
    </row>
    <row r="362" ht="12.75">
      <c r="E362" s="242"/>
    </row>
    <row r="363" ht="12.75">
      <c r="E363" s="242"/>
    </row>
    <row r="364" ht="12.75">
      <c r="E364" s="242"/>
    </row>
    <row r="365" ht="12.75">
      <c r="E365" s="242"/>
    </row>
    <row r="366" ht="12.75">
      <c r="E366" s="242"/>
    </row>
    <row r="367" ht="12.75">
      <c r="E367" s="242"/>
    </row>
    <row r="368" ht="12.75">
      <c r="E368" s="242"/>
    </row>
    <row r="369" ht="12.75">
      <c r="E369" s="242"/>
    </row>
    <row r="370" ht="12.75">
      <c r="E370" s="242"/>
    </row>
    <row r="371" ht="12.75">
      <c r="E371" s="242"/>
    </row>
    <row r="372" ht="12.75">
      <c r="E372" s="242"/>
    </row>
    <row r="373" ht="12.75">
      <c r="E373" s="242"/>
    </row>
    <row r="374" ht="12.75">
      <c r="E374" s="242"/>
    </row>
    <row r="375" ht="12.75">
      <c r="E375" s="242"/>
    </row>
    <row r="376" ht="12.75">
      <c r="E376" s="242"/>
    </row>
    <row r="377" ht="12.75">
      <c r="E377" s="242"/>
    </row>
    <row r="378" ht="12.75">
      <c r="E378" s="242"/>
    </row>
    <row r="379" ht="12.75">
      <c r="E379" s="242"/>
    </row>
    <row r="380" ht="12.75">
      <c r="E380" s="242"/>
    </row>
    <row r="381" ht="12.75">
      <c r="E381" s="242"/>
    </row>
    <row r="382" ht="12.75">
      <c r="E382" s="242"/>
    </row>
    <row r="383" ht="12.75">
      <c r="E383" s="242"/>
    </row>
    <row r="384" ht="12.75">
      <c r="E384" s="242"/>
    </row>
    <row r="385" ht="12.75">
      <c r="E385" s="242"/>
    </row>
    <row r="386" ht="12.75">
      <c r="E386" s="242"/>
    </row>
    <row r="387" ht="12.75">
      <c r="E387" s="242"/>
    </row>
    <row r="388" ht="12.75">
      <c r="E388" s="242"/>
    </row>
    <row r="389" ht="12.75">
      <c r="E389" s="242"/>
    </row>
    <row r="390" ht="12.75">
      <c r="E390" s="242"/>
    </row>
    <row r="391" ht="12.75">
      <c r="E391" s="242"/>
    </row>
    <row r="392" ht="12.75">
      <c r="E392" s="242"/>
    </row>
    <row r="393" ht="12.75">
      <c r="E393" s="242"/>
    </row>
    <row r="394" ht="12.75">
      <c r="E394" s="242"/>
    </row>
    <row r="395" ht="12.75">
      <c r="E395" s="242"/>
    </row>
    <row r="396" ht="12.75">
      <c r="E396" s="242"/>
    </row>
    <row r="397" ht="12.75">
      <c r="E397" s="242"/>
    </row>
    <row r="398" ht="12.75">
      <c r="E398" s="242"/>
    </row>
    <row r="399" ht="12.75">
      <c r="E399" s="242"/>
    </row>
    <row r="400" ht="12.75">
      <c r="E400" s="242"/>
    </row>
    <row r="401" ht="12.75">
      <c r="E401" s="242"/>
    </row>
    <row r="402" ht="12.75">
      <c r="E402" s="242"/>
    </row>
    <row r="403" ht="12.75">
      <c r="E403" s="242"/>
    </row>
    <row r="404" ht="12.75">
      <c r="E404" s="242"/>
    </row>
    <row r="405" ht="12.75">
      <c r="E405" s="242"/>
    </row>
    <row r="406" ht="12.75">
      <c r="E406" s="242"/>
    </row>
    <row r="407" ht="12.75">
      <c r="E407" s="242"/>
    </row>
    <row r="408" ht="12.75">
      <c r="E408" s="242"/>
    </row>
    <row r="409" ht="12.75">
      <c r="E409" s="242"/>
    </row>
    <row r="410" ht="12.75">
      <c r="E410" s="242"/>
    </row>
    <row r="411" ht="12.75">
      <c r="E411" s="242"/>
    </row>
    <row r="412" ht="12.75">
      <c r="E412" s="242"/>
    </row>
    <row r="413" ht="12.75">
      <c r="E413" s="242"/>
    </row>
    <row r="414" ht="12.75">
      <c r="E414" s="242"/>
    </row>
    <row r="415" ht="12.75">
      <c r="E415" s="242"/>
    </row>
    <row r="416" ht="12.75">
      <c r="E416" s="242"/>
    </row>
    <row r="417" ht="12.75">
      <c r="E417" s="242"/>
    </row>
    <row r="418" ht="12.75">
      <c r="E418" s="242"/>
    </row>
    <row r="419" ht="12.75">
      <c r="E419" s="242"/>
    </row>
    <row r="420" ht="12.75">
      <c r="E420" s="242"/>
    </row>
    <row r="421" ht="12.75">
      <c r="E421" s="242"/>
    </row>
    <row r="422" ht="12.75">
      <c r="E422" s="242"/>
    </row>
    <row r="423" ht="12.75">
      <c r="E423" s="242"/>
    </row>
    <row r="424" ht="12.75">
      <c r="E424" s="242"/>
    </row>
    <row r="425" ht="12.75">
      <c r="E425" s="242"/>
    </row>
    <row r="426" ht="12.75">
      <c r="E426" s="242"/>
    </row>
    <row r="427" ht="12.75">
      <c r="E427" s="242"/>
    </row>
    <row r="428" ht="12.75">
      <c r="E428" s="242"/>
    </row>
    <row r="429" ht="12.75">
      <c r="E429" s="242"/>
    </row>
    <row r="430" ht="12.75">
      <c r="E430" s="242"/>
    </row>
    <row r="431" ht="12.75">
      <c r="E431" s="242"/>
    </row>
    <row r="432" ht="12.75">
      <c r="E432" s="242"/>
    </row>
    <row r="433" ht="12.75">
      <c r="E433" s="242"/>
    </row>
    <row r="434" ht="12.75">
      <c r="E434" s="242"/>
    </row>
    <row r="435" ht="12.75">
      <c r="E435" s="242"/>
    </row>
    <row r="436" ht="12.75">
      <c r="E436" s="242"/>
    </row>
    <row r="437" ht="12.75">
      <c r="E437" s="242"/>
    </row>
    <row r="438" ht="12.75">
      <c r="E438" s="242"/>
    </row>
    <row r="439" ht="12.75">
      <c r="E439" s="242"/>
    </row>
    <row r="440" ht="12.75">
      <c r="E440" s="242"/>
    </row>
    <row r="441" ht="12.75">
      <c r="E441" s="242"/>
    </row>
    <row r="442" ht="12.75">
      <c r="E442" s="242"/>
    </row>
    <row r="443" ht="12.75">
      <c r="E443" s="242"/>
    </row>
    <row r="444" ht="12.75">
      <c r="E444" s="242"/>
    </row>
    <row r="445" ht="12.75">
      <c r="E445" s="242"/>
    </row>
    <row r="446" ht="12.75">
      <c r="E446" s="242"/>
    </row>
    <row r="447" ht="12.75">
      <c r="E447" s="242"/>
    </row>
    <row r="448" ht="12.75">
      <c r="E448" s="242"/>
    </row>
    <row r="449" ht="12.75">
      <c r="E449" s="242"/>
    </row>
    <row r="450" ht="12.75">
      <c r="E450" s="242"/>
    </row>
    <row r="451" ht="12.75">
      <c r="E451" s="242"/>
    </row>
    <row r="452" ht="12.75">
      <c r="E452" s="242"/>
    </row>
    <row r="453" ht="12.75">
      <c r="E453" s="242"/>
    </row>
    <row r="454" ht="12.75">
      <c r="E454" s="242"/>
    </row>
    <row r="455" ht="12.75">
      <c r="E455" s="242"/>
    </row>
    <row r="456" ht="12.75">
      <c r="E456" s="242"/>
    </row>
    <row r="457" ht="12.75">
      <c r="E457" s="242"/>
    </row>
    <row r="458" ht="12.75">
      <c r="E458" s="242"/>
    </row>
    <row r="459" ht="12.75">
      <c r="E459" s="242"/>
    </row>
    <row r="460" ht="12.75">
      <c r="E460" s="242"/>
    </row>
    <row r="461" ht="12.75">
      <c r="E461" s="242"/>
    </row>
    <row r="462" ht="12.75">
      <c r="E462" s="242"/>
    </row>
    <row r="463" ht="12.75">
      <c r="E463" s="242"/>
    </row>
    <row r="464" ht="12.75">
      <c r="E464" s="242"/>
    </row>
    <row r="465" ht="12.75">
      <c r="E465" s="242"/>
    </row>
    <row r="466" ht="12.75">
      <c r="E466" s="242"/>
    </row>
    <row r="467" ht="12.75">
      <c r="E467" s="242"/>
    </row>
    <row r="468" ht="12.75">
      <c r="E468" s="242"/>
    </row>
    <row r="469" ht="12.75">
      <c r="E469" s="242"/>
    </row>
    <row r="470" ht="12.75">
      <c r="E470" s="242"/>
    </row>
    <row r="471" ht="12.75">
      <c r="E471" s="242"/>
    </row>
    <row r="472" ht="12.75">
      <c r="E472" s="242"/>
    </row>
    <row r="473" ht="12.75">
      <c r="E473" s="242"/>
    </row>
    <row r="474" ht="12.75">
      <c r="E474" s="242"/>
    </row>
    <row r="475" ht="12.75">
      <c r="E475" s="242"/>
    </row>
    <row r="476" ht="12.75">
      <c r="E476" s="242"/>
    </row>
    <row r="477" ht="12.75">
      <c r="E477" s="242"/>
    </row>
    <row r="478" ht="12.75">
      <c r="E478" s="242"/>
    </row>
    <row r="479" ht="12.75">
      <c r="E479" s="242"/>
    </row>
    <row r="480" ht="12.75">
      <c r="E480" s="242"/>
    </row>
    <row r="481" ht="12.75">
      <c r="E481" s="242"/>
    </row>
    <row r="482" ht="12.75">
      <c r="E482" s="242"/>
    </row>
    <row r="483" ht="12.75">
      <c r="E483" s="242"/>
    </row>
    <row r="484" ht="12.75">
      <c r="E484" s="242"/>
    </row>
    <row r="485" ht="12.75">
      <c r="E485" s="242"/>
    </row>
    <row r="486" ht="12.75">
      <c r="E486" s="242"/>
    </row>
    <row r="487" ht="12.75">
      <c r="E487" s="242"/>
    </row>
    <row r="488" ht="12.75">
      <c r="E488" s="242"/>
    </row>
    <row r="489" ht="12.75">
      <c r="E489" s="242"/>
    </row>
    <row r="490" ht="12.75">
      <c r="E490" s="242"/>
    </row>
    <row r="491" ht="12.75">
      <c r="E491" s="242"/>
    </row>
    <row r="492" ht="12.75">
      <c r="E492" s="242"/>
    </row>
    <row r="493" ht="12.75">
      <c r="E493" s="242"/>
    </row>
    <row r="494" ht="12.75">
      <c r="E494" s="242"/>
    </row>
    <row r="495" ht="12.75">
      <c r="E495" s="242"/>
    </row>
    <row r="496" ht="12.75">
      <c r="E496" s="242"/>
    </row>
    <row r="497" ht="12.75">
      <c r="E497" s="242"/>
    </row>
    <row r="498" ht="12.75">
      <c r="E498" s="242"/>
    </row>
    <row r="499" ht="12.75">
      <c r="E499" s="242"/>
    </row>
    <row r="500" ht="12.75">
      <c r="E500" s="242"/>
    </row>
    <row r="501" ht="12.75">
      <c r="E501" s="242"/>
    </row>
    <row r="502" ht="12.75">
      <c r="E502" s="242"/>
    </row>
    <row r="503" ht="12.75">
      <c r="E503" s="242"/>
    </row>
    <row r="504" ht="12.75">
      <c r="E504" s="242"/>
    </row>
    <row r="505" ht="12.75">
      <c r="E505" s="242"/>
    </row>
    <row r="506" ht="12.75">
      <c r="E506" s="242"/>
    </row>
    <row r="507" ht="12.75">
      <c r="E507" s="242"/>
    </row>
    <row r="508" ht="12.75">
      <c r="E508" s="242"/>
    </row>
    <row r="509" ht="12.75">
      <c r="E509" s="242"/>
    </row>
    <row r="510" ht="12.75">
      <c r="E510" s="242"/>
    </row>
    <row r="511" ht="12.75">
      <c r="E511" s="242"/>
    </row>
    <row r="512" ht="12.75">
      <c r="E512" s="242"/>
    </row>
    <row r="513" ht="12.75">
      <c r="E513" s="242"/>
    </row>
    <row r="514" ht="12.75">
      <c r="E514" s="242"/>
    </row>
    <row r="515" ht="12.75">
      <c r="E515" s="242"/>
    </row>
    <row r="516" ht="12.75">
      <c r="E516" s="242"/>
    </row>
    <row r="517" ht="12.75">
      <c r="E517" s="242"/>
    </row>
    <row r="518" ht="12.75">
      <c r="E518" s="242"/>
    </row>
    <row r="519" ht="12.75">
      <c r="E519" s="242"/>
    </row>
    <row r="520" ht="12.75">
      <c r="E520" s="242"/>
    </row>
    <row r="521" ht="12.75">
      <c r="E521" s="242"/>
    </row>
    <row r="522" ht="12.75">
      <c r="E522" s="242"/>
    </row>
    <row r="523" ht="12.75">
      <c r="E523" s="242"/>
    </row>
    <row r="524" ht="12.75">
      <c r="E524" s="242"/>
    </row>
    <row r="525" ht="12.75">
      <c r="E525" s="242"/>
    </row>
    <row r="526" ht="12.75">
      <c r="E526" s="242"/>
    </row>
    <row r="527" ht="12.75">
      <c r="E527" s="242"/>
    </row>
    <row r="528" ht="12.75">
      <c r="E528" s="242"/>
    </row>
    <row r="529" ht="12.75">
      <c r="E529" s="242"/>
    </row>
    <row r="530" ht="12.75">
      <c r="E530" s="242"/>
    </row>
    <row r="531" ht="12.75">
      <c r="E531" s="242"/>
    </row>
    <row r="532" ht="12.75">
      <c r="E532" s="242"/>
    </row>
    <row r="533" ht="12.75">
      <c r="E533" s="242"/>
    </row>
    <row r="534" ht="12.75">
      <c r="E534" s="242"/>
    </row>
    <row r="535" ht="12.75">
      <c r="E535" s="242"/>
    </row>
    <row r="536" ht="12.75">
      <c r="E536" s="242"/>
    </row>
    <row r="537" ht="12.75">
      <c r="E537" s="242"/>
    </row>
    <row r="538" ht="12.75">
      <c r="E538" s="242"/>
    </row>
    <row r="539" ht="12.75">
      <c r="E539" s="242"/>
    </row>
    <row r="540" ht="12.75">
      <c r="E540" s="242"/>
    </row>
    <row r="541" ht="12.75">
      <c r="E541" s="242"/>
    </row>
    <row r="542" ht="12.75">
      <c r="E542" s="242"/>
    </row>
    <row r="543" ht="12.75">
      <c r="E543" s="242"/>
    </row>
    <row r="544" ht="12.75">
      <c r="E544" s="242"/>
    </row>
    <row r="545" ht="12.75">
      <c r="E545" s="242"/>
    </row>
    <row r="546" ht="12.75">
      <c r="E546" s="242"/>
    </row>
    <row r="547" ht="12.75">
      <c r="E547" s="242"/>
    </row>
    <row r="548" ht="12.75">
      <c r="E548" s="242"/>
    </row>
    <row r="549" ht="12.75">
      <c r="E549" s="242"/>
    </row>
    <row r="550" ht="12.75">
      <c r="E550" s="242"/>
    </row>
    <row r="551" ht="12.75">
      <c r="E551" s="242"/>
    </row>
    <row r="552" ht="12.75">
      <c r="E552" s="242"/>
    </row>
    <row r="553" ht="12.75">
      <c r="E553" s="242"/>
    </row>
    <row r="554" ht="12.75">
      <c r="E554" s="242"/>
    </row>
    <row r="555" ht="12.75">
      <c r="E555" s="242"/>
    </row>
    <row r="556" ht="12.75">
      <c r="E556" s="242"/>
    </row>
    <row r="557" ht="12.75">
      <c r="E557" s="242"/>
    </row>
    <row r="558" ht="12.75">
      <c r="E558" s="242"/>
    </row>
    <row r="559" ht="12.75">
      <c r="E559" s="242"/>
    </row>
    <row r="560" ht="12.75">
      <c r="E560" s="242"/>
    </row>
    <row r="561" ht="12.75">
      <c r="E561" s="242"/>
    </row>
    <row r="562" ht="12.75">
      <c r="E562" s="242"/>
    </row>
    <row r="563" ht="12.75">
      <c r="E563" s="242"/>
    </row>
    <row r="564" ht="12.75">
      <c r="E564" s="242"/>
    </row>
    <row r="565" ht="12.75">
      <c r="E565" s="242"/>
    </row>
    <row r="566" ht="12.75">
      <c r="E566" s="242"/>
    </row>
    <row r="567" ht="12.75">
      <c r="E567" s="242"/>
    </row>
    <row r="568" ht="12.75">
      <c r="E568" s="242"/>
    </row>
    <row r="569" ht="12.75">
      <c r="E569" s="242"/>
    </row>
    <row r="570" ht="12.75">
      <c r="E570" s="242"/>
    </row>
    <row r="571" ht="12.75">
      <c r="E571" s="242"/>
    </row>
    <row r="572" ht="12.75">
      <c r="E572" s="242"/>
    </row>
    <row r="573" ht="12.75">
      <c r="E573" s="242"/>
    </row>
    <row r="574" ht="12.75">
      <c r="E574" s="242"/>
    </row>
    <row r="575" ht="12.75">
      <c r="E575" s="242"/>
    </row>
    <row r="576" ht="12.75">
      <c r="E576" s="242"/>
    </row>
    <row r="577" ht="12.75">
      <c r="E577" s="242"/>
    </row>
    <row r="578" ht="12.75">
      <c r="E578" s="242"/>
    </row>
    <row r="579" ht="12.75">
      <c r="E579" s="242"/>
    </row>
    <row r="580" ht="12.75">
      <c r="E580" s="242"/>
    </row>
    <row r="581" ht="12.75">
      <c r="E581" s="242"/>
    </row>
    <row r="582" ht="12.75">
      <c r="E582" s="242"/>
    </row>
    <row r="583" ht="12.75">
      <c r="E583" s="242"/>
    </row>
    <row r="584" ht="12.75">
      <c r="E584" s="242"/>
    </row>
    <row r="585" ht="12.75">
      <c r="E585" s="242"/>
    </row>
    <row r="586" ht="12.75">
      <c r="E586" s="242"/>
    </row>
    <row r="587" ht="12.75">
      <c r="E587" s="242"/>
    </row>
    <row r="588" ht="12.75">
      <c r="E588" s="242"/>
    </row>
    <row r="589" ht="12.75">
      <c r="E589" s="242"/>
    </row>
    <row r="590" ht="12.75">
      <c r="E590" s="242"/>
    </row>
    <row r="591" ht="12.75">
      <c r="E591" s="242"/>
    </row>
    <row r="592" ht="12.75">
      <c r="E592" s="242"/>
    </row>
    <row r="593" ht="12.75">
      <c r="E593" s="242"/>
    </row>
    <row r="594" ht="12.75">
      <c r="E594" s="242"/>
    </row>
    <row r="595" ht="12.75">
      <c r="E595" s="242"/>
    </row>
    <row r="596" ht="12.75">
      <c r="E596" s="242"/>
    </row>
    <row r="597" ht="12.75">
      <c r="E597" s="242"/>
    </row>
    <row r="598" ht="12.75">
      <c r="E598" s="242"/>
    </row>
    <row r="599" ht="12.75">
      <c r="E599" s="242"/>
    </row>
    <row r="600" ht="12.75">
      <c r="E600" s="242"/>
    </row>
    <row r="601" ht="12.75">
      <c r="E601" s="242"/>
    </row>
    <row r="602" ht="12.75">
      <c r="E602" s="242"/>
    </row>
    <row r="603" ht="12.75">
      <c r="E603" s="242"/>
    </row>
    <row r="604" ht="12.75">
      <c r="E604" s="242"/>
    </row>
    <row r="605" ht="12.75">
      <c r="E605" s="242"/>
    </row>
    <row r="606" ht="12.75">
      <c r="E606" s="242"/>
    </row>
    <row r="607" ht="12.75">
      <c r="E607" s="242"/>
    </row>
    <row r="608" ht="12.75">
      <c r="E608" s="242"/>
    </row>
    <row r="609" ht="12.75">
      <c r="E609" s="242"/>
    </row>
    <row r="610" ht="12.75">
      <c r="E610" s="242"/>
    </row>
    <row r="611" ht="12.75">
      <c r="E611" s="242"/>
    </row>
    <row r="612" ht="12.75">
      <c r="E612" s="242"/>
    </row>
    <row r="613" ht="12.75">
      <c r="E613" s="242"/>
    </row>
    <row r="614" ht="12.75">
      <c r="E614" s="242"/>
    </row>
    <row r="615" ht="12.75">
      <c r="E615" s="242"/>
    </row>
  </sheetData>
  <sheetProtection password="A8B6"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workbookViewId="0" topLeftCell="A1">
      <selection activeCell="N2" sqref="N2:N94"/>
    </sheetView>
  </sheetViews>
  <sheetFormatPr defaultColWidth="11.421875" defaultRowHeight="12.75"/>
  <cols>
    <col min="1" max="1" width="2.7109375" style="242" customWidth="1"/>
    <col min="2" max="2" width="32.7109375" style="242" customWidth="1"/>
    <col min="3" max="3" width="4.57421875" style="242" customWidth="1"/>
    <col min="4" max="4" width="5.00390625" style="242" customWidth="1"/>
    <col min="5" max="5" width="5.00390625" style="262" customWidth="1"/>
    <col min="6" max="6" width="5.28125" style="242" customWidth="1"/>
    <col min="7" max="7" width="1.7109375" style="240" customWidth="1"/>
    <col min="8" max="8" width="32.28125" style="242" customWidth="1"/>
    <col min="9" max="9" width="4.57421875" style="242" customWidth="1"/>
    <col min="10" max="10" width="5.00390625" style="242" customWidth="1"/>
    <col min="11" max="11" width="5.00390625" style="262" customWidth="1"/>
    <col min="12" max="12" width="5.28125" style="242" customWidth="1"/>
    <col min="13" max="13" width="1.7109375" style="240" customWidth="1"/>
    <col min="14" max="14" width="32.28125" style="242" customWidth="1"/>
    <col min="15" max="15" width="5.8515625" style="242" customWidth="1"/>
    <col min="16" max="16" width="4.57421875" style="242" customWidth="1"/>
    <col min="17" max="17" width="5.00390625" style="242" customWidth="1"/>
    <col min="18" max="18" width="5.00390625" style="262" customWidth="1"/>
    <col min="19" max="19" width="5.28125" style="242" customWidth="1"/>
    <col min="20" max="20" width="2.7109375" style="242" customWidth="1"/>
    <col min="21" max="16384" width="11.421875" style="242" customWidth="1"/>
  </cols>
  <sheetData>
    <row r="1" spans="1:20" ht="12.75">
      <c r="A1" s="241"/>
      <c r="B1" s="243"/>
      <c r="C1" s="243"/>
      <c r="D1" s="243"/>
      <c r="E1" s="244"/>
      <c r="F1" s="243"/>
      <c r="G1" s="243"/>
      <c r="H1" s="243"/>
      <c r="I1" s="243"/>
      <c r="J1" s="243"/>
      <c r="K1" s="244"/>
      <c r="L1" s="243"/>
      <c r="M1" s="243"/>
      <c r="N1" s="243"/>
      <c r="O1" s="243"/>
      <c r="P1" s="243"/>
      <c r="Q1" s="243"/>
      <c r="R1" s="244"/>
      <c r="S1" s="245">
        <f>'Tirage initial'!B8</f>
        <v>0</v>
      </c>
      <c r="T1" s="246"/>
    </row>
    <row r="2" spans="1:20" ht="48.75" thickBot="1">
      <c r="A2" s="247"/>
      <c r="B2" s="248" t="s">
        <v>377</v>
      </c>
      <c r="C2" s="249" t="s">
        <v>378</v>
      </c>
      <c r="D2" s="249" t="s">
        <v>379</v>
      </c>
      <c r="E2" s="250" t="s">
        <v>380</v>
      </c>
      <c r="F2" s="251" t="s">
        <v>250</v>
      </c>
      <c r="G2" s="233"/>
      <c r="H2" s="248" t="s">
        <v>556</v>
      </c>
      <c r="I2" s="252" t="s">
        <v>378</v>
      </c>
      <c r="J2" s="252" t="s">
        <v>379</v>
      </c>
      <c r="K2" s="253" t="s">
        <v>380</v>
      </c>
      <c r="L2" s="254" t="s">
        <v>250</v>
      </c>
      <c r="M2" s="233"/>
      <c r="N2" s="238" t="s">
        <v>436</v>
      </c>
      <c r="O2" s="238"/>
      <c r="P2" s="249" t="s">
        <v>378</v>
      </c>
      <c r="Q2" s="249" t="s">
        <v>379</v>
      </c>
      <c r="R2" s="250" t="s">
        <v>380</v>
      </c>
      <c r="S2" s="251" t="s">
        <v>250</v>
      </c>
      <c r="T2" s="255"/>
    </row>
    <row r="3" spans="1:20" ht="14.25" thickBot="1" thickTop="1">
      <c r="A3" s="247"/>
      <c r="B3" s="256" t="s">
        <v>381</v>
      </c>
      <c r="C3" s="257"/>
      <c r="D3" s="257"/>
      <c r="E3" s="258"/>
      <c r="F3" s="257"/>
      <c r="H3" s="235" t="s">
        <v>524</v>
      </c>
      <c r="I3" s="240"/>
      <c r="J3" s="240"/>
      <c r="K3" s="259"/>
      <c r="L3" s="240"/>
      <c r="N3" s="275" t="s">
        <v>469</v>
      </c>
      <c r="O3" s="256"/>
      <c r="P3" s="257"/>
      <c r="Q3" s="257"/>
      <c r="R3" s="258"/>
      <c r="S3" s="257"/>
      <c r="T3" s="255"/>
    </row>
    <row r="4" spans="1:20" ht="13.5" thickTop="1">
      <c r="A4" s="247"/>
      <c r="B4" s="237" t="s">
        <v>382</v>
      </c>
      <c r="C4" s="260"/>
      <c r="D4" s="260"/>
      <c r="E4" s="261"/>
      <c r="F4" s="260"/>
      <c r="H4" s="256" t="s">
        <v>516</v>
      </c>
      <c r="I4" s="257"/>
      <c r="J4" s="257"/>
      <c r="K4" s="258"/>
      <c r="L4" s="257"/>
      <c r="N4" s="276" t="s">
        <v>470</v>
      </c>
      <c r="O4" s="237"/>
      <c r="P4" s="260"/>
      <c r="Q4" s="260"/>
      <c r="R4" s="261"/>
      <c r="S4" s="260"/>
      <c r="T4" s="255"/>
    </row>
    <row r="5" spans="1:20" ht="12.75">
      <c r="A5" s="247"/>
      <c r="B5" s="237" t="s">
        <v>383</v>
      </c>
      <c r="C5" s="260"/>
      <c r="D5" s="260"/>
      <c r="E5" s="261"/>
      <c r="F5" s="260"/>
      <c r="H5" s="237" t="s">
        <v>517</v>
      </c>
      <c r="I5" s="260"/>
      <c r="J5" s="260"/>
      <c r="K5" s="261"/>
      <c r="L5" s="260"/>
      <c r="N5" s="276" t="s">
        <v>474</v>
      </c>
      <c r="O5" s="237"/>
      <c r="P5" s="260"/>
      <c r="Q5" s="260"/>
      <c r="R5" s="261"/>
      <c r="S5" s="260"/>
      <c r="T5" s="255"/>
    </row>
    <row r="6" spans="1:20" ht="12.75">
      <c r="A6" s="247"/>
      <c r="B6" s="237" t="s">
        <v>385</v>
      </c>
      <c r="C6" s="260"/>
      <c r="D6" s="260"/>
      <c r="E6" s="261"/>
      <c r="F6" s="260"/>
      <c r="H6" s="237" t="s">
        <v>518</v>
      </c>
      <c r="I6" s="260"/>
      <c r="J6" s="260"/>
      <c r="K6" s="261"/>
      <c r="L6" s="260"/>
      <c r="N6" s="276" t="s">
        <v>472</v>
      </c>
      <c r="O6" s="237"/>
      <c r="P6" s="260"/>
      <c r="Q6" s="260"/>
      <c r="R6" s="261"/>
      <c r="S6" s="260"/>
      <c r="T6" s="255"/>
    </row>
    <row r="7" spans="1:20" ht="12.75">
      <c r="A7" s="247"/>
      <c r="B7" s="237" t="s">
        <v>384</v>
      </c>
      <c r="C7" s="260"/>
      <c r="D7" s="260"/>
      <c r="E7" s="261"/>
      <c r="F7" s="260"/>
      <c r="H7" s="237" t="s">
        <v>519</v>
      </c>
      <c r="I7" s="260"/>
      <c r="J7" s="260"/>
      <c r="K7" s="261"/>
      <c r="L7" s="260"/>
      <c r="N7" s="276" t="s">
        <v>473</v>
      </c>
      <c r="O7" s="237"/>
      <c r="P7" s="260"/>
      <c r="Q7" s="260"/>
      <c r="R7" s="261"/>
      <c r="S7" s="260"/>
      <c r="T7" s="255"/>
    </row>
    <row r="8" spans="1:20" ht="12.75">
      <c r="A8" s="247"/>
      <c r="B8" s="237" t="s">
        <v>387</v>
      </c>
      <c r="C8" s="260"/>
      <c r="D8" s="260"/>
      <c r="E8" s="261"/>
      <c r="F8" s="260"/>
      <c r="H8" s="237" t="s">
        <v>520</v>
      </c>
      <c r="I8" s="260"/>
      <c r="J8" s="260"/>
      <c r="K8" s="261"/>
      <c r="L8" s="260"/>
      <c r="N8" s="276" t="s">
        <v>482</v>
      </c>
      <c r="O8" s="237"/>
      <c r="P8" s="260"/>
      <c r="Q8" s="260"/>
      <c r="R8" s="261"/>
      <c r="S8" s="260"/>
      <c r="T8" s="255"/>
    </row>
    <row r="9" spans="1:20" ht="12.75">
      <c r="A9" s="247"/>
      <c r="B9" s="237" t="s">
        <v>390</v>
      </c>
      <c r="C9" s="260"/>
      <c r="D9" s="260"/>
      <c r="E9" s="261"/>
      <c r="F9" s="260"/>
      <c r="H9" s="237" t="s">
        <v>521</v>
      </c>
      <c r="I9" s="260"/>
      <c r="J9" s="260"/>
      <c r="K9" s="261"/>
      <c r="L9" s="260"/>
      <c r="N9" s="276" t="s">
        <v>489</v>
      </c>
      <c r="O9" s="237"/>
      <c r="P9" s="260"/>
      <c r="Q9" s="260"/>
      <c r="R9" s="261"/>
      <c r="S9" s="260"/>
      <c r="T9" s="255"/>
    </row>
    <row r="10" spans="1:20" ht="12.75">
      <c r="A10" s="247"/>
      <c r="B10" s="237" t="s">
        <v>389</v>
      </c>
      <c r="C10" s="260"/>
      <c r="D10" s="260"/>
      <c r="E10" s="261"/>
      <c r="F10" s="260"/>
      <c r="H10" s="237" t="s">
        <v>522</v>
      </c>
      <c r="I10" s="260"/>
      <c r="J10" s="260"/>
      <c r="K10" s="261"/>
      <c r="L10" s="260"/>
      <c r="N10" s="276" t="s">
        <v>471</v>
      </c>
      <c r="O10" s="237"/>
      <c r="P10" s="260"/>
      <c r="Q10" s="260"/>
      <c r="R10" s="261"/>
      <c r="S10" s="260"/>
      <c r="T10" s="255"/>
    </row>
    <row r="11" spans="1:20" ht="12.75">
      <c r="A11" s="247"/>
      <c r="B11" s="237" t="s">
        <v>388</v>
      </c>
      <c r="C11" s="260"/>
      <c r="D11" s="260"/>
      <c r="E11" s="261"/>
      <c r="F11" s="260"/>
      <c r="H11" s="237" t="s">
        <v>533</v>
      </c>
      <c r="I11" s="260"/>
      <c r="J11" s="260"/>
      <c r="K11" s="261"/>
      <c r="L11" s="260"/>
      <c r="N11" s="276" t="s">
        <v>490</v>
      </c>
      <c r="O11" s="237"/>
      <c r="P11" s="260"/>
      <c r="Q11" s="260"/>
      <c r="R11" s="261"/>
      <c r="S11" s="260"/>
      <c r="T11" s="255"/>
    </row>
    <row r="12" spans="1:20" ht="12.75">
      <c r="A12" s="247"/>
      <c r="B12" s="237" t="s">
        <v>386</v>
      </c>
      <c r="C12" s="260"/>
      <c r="D12" s="260"/>
      <c r="E12" s="261"/>
      <c r="F12" s="260"/>
      <c r="H12" s="237" t="s">
        <v>523</v>
      </c>
      <c r="I12" s="260"/>
      <c r="J12" s="260"/>
      <c r="K12" s="261"/>
      <c r="L12" s="260"/>
      <c r="N12" s="276" t="s">
        <v>483</v>
      </c>
      <c r="O12" s="237"/>
      <c r="P12" s="260"/>
      <c r="Q12" s="260"/>
      <c r="R12" s="261"/>
      <c r="S12" s="260"/>
      <c r="T12" s="255"/>
    </row>
    <row r="13" spans="1:20" ht="13.5" thickBot="1">
      <c r="A13" s="247"/>
      <c r="B13" s="240"/>
      <c r="C13" s="240"/>
      <c r="D13" s="240"/>
      <c r="E13" s="259"/>
      <c r="F13" s="240"/>
      <c r="H13" s="235" t="s">
        <v>525</v>
      </c>
      <c r="I13" s="240"/>
      <c r="J13" s="240"/>
      <c r="K13" s="259"/>
      <c r="L13" s="240"/>
      <c r="N13" s="276" t="s">
        <v>484</v>
      </c>
      <c r="O13" s="237"/>
      <c r="P13" s="260"/>
      <c r="Q13" s="260"/>
      <c r="R13" s="261"/>
      <c r="S13" s="260"/>
      <c r="T13" s="255"/>
    </row>
    <row r="14" spans="1:20" ht="13.5" thickTop="1">
      <c r="A14" s="247"/>
      <c r="B14" s="248" t="s">
        <v>397</v>
      </c>
      <c r="C14" s="240"/>
      <c r="D14" s="240"/>
      <c r="E14" s="259"/>
      <c r="F14" s="240"/>
      <c r="H14" s="256" t="s">
        <v>526</v>
      </c>
      <c r="I14" s="257"/>
      <c r="J14" s="257"/>
      <c r="K14" s="258"/>
      <c r="L14" s="257"/>
      <c r="N14" s="276" t="s">
        <v>485</v>
      </c>
      <c r="O14" s="237"/>
      <c r="P14" s="260"/>
      <c r="Q14" s="260"/>
      <c r="R14" s="261"/>
      <c r="S14" s="260"/>
      <c r="T14" s="255"/>
    </row>
    <row r="15" spans="1:20" ht="13.5" thickBot="1">
      <c r="A15" s="247"/>
      <c r="B15" s="240"/>
      <c r="C15" s="240"/>
      <c r="D15" s="240"/>
      <c r="E15" s="259"/>
      <c r="F15" s="240"/>
      <c r="H15" s="237" t="s">
        <v>527</v>
      </c>
      <c r="I15" s="260"/>
      <c r="J15" s="260"/>
      <c r="K15" s="261"/>
      <c r="L15" s="260"/>
      <c r="N15" s="276" t="s">
        <v>611</v>
      </c>
      <c r="O15" s="237"/>
      <c r="P15" s="260"/>
      <c r="Q15" s="260"/>
      <c r="R15" s="261"/>
      <c r="S15" s="260"/>
      <c r="T15" s="255"/>
    </row>
    <row r="16" spans="1:20" ht="13.5" thickTop="1">
      <c r="A16" s="247"/>
      <c r="B16" s="256" t="s">
        <v>391</v>
      </c>
      <c r="C16" s="257"/>
      <c r="D16" s="257"/>
      <c r="E16" s="258"/>
      <c r="F16" s="257"/>
      <c r="H16" s="237" t="s">
        <v>528</v>
      </c>
      <c r="I16" s="260"/>
      <c r="J16" s="260"/>
      <c r="K16" s="261"/>
      <c r="L16" s="260"/>
      <c r="N16" s="276" t="s">
        <v>486</v>
      </c>
      <c r="O16" s="237"/>
      <c r="P16" s="260"/>
      <c r="Q16" s="260"/>
      <c r="R16" s="261"/>
      <c r="S16" s="260"/>
      <c r="T16" s="255"/>
    </row>
    <row r="17" spans="1:20" ht="12.75">
      <c r="A17" s="247"/>
      <c r="B17" s="237" t="s">
        <v>392</v>
      </c>
      <c r="C17" s="260"/>
      <c r="D17" s="260"/>
      <c r="E17" s="261"/>
      <c r="F17" s="260"/>
      <c r="H17" s="237" t="s">
        <v>529</v>
      </c>
      <c r="I17" s="260"/>
      <c r="J17" s="260"/>
      <c r="K17" s="261"/>
      <c r="L17" s="260"/>
      <c r="N17" s="276" t="s">
        <v>487</v>
      </c>
      <c r="O17" s="237"/>
      <c r="P17" s="260"/>
      <c r="Q17" s="260"/>
      <c r="R17" s="261"/>
      <c r="S17" s="260"/>
      <c r="T17" s="255"/>
    </row>
    <row r="18" spans="1:20" ht="12.75">
      <c r="A18" s="247"/>
      <c r="B18" s="237" t="s">
        <v>393</v>
      </c>
      <c r="C18" s="260"/>
      <c r="D18" s="260"/>
      <c r="E18" s="261"/>
      <c r="F18" s="260"/>
      <c r="H18" s="237" t="s">
        <v>530</v>
      </c>
      <c r="I18" s="260"/>
      <c r="J18" s="260"/>
      <c r="K18" s="261"/>
      <c r="L18" s="260"/>
      <c r="N18" s="276" t="s">
        <v>488</v>
      </c>
      <c r="O18" s="237"/>
      <c r="P18" s="260"/>
      <c r="Q18" s="260"/>
      <c r="R18" s="261"/>
      <c r="S18" s="260"/>
      <c r="T18" s="255"/>
    </row>
    <row r="19" spans="1:20" ht="12.75">
      <c r="A19" s="247"/>
      <c r="B19" s="237" t="s">
        <v>394</v>
      </c>
      <c r="C19" s="260"/>
      <c r="D19" s="260"/>
      <c r="E19" s="261"/>
      <c r="F19" s="260"/>
      <c r="H19" s="237" t="s">
        <v>531</v>
      </c>
      <c r="I19" s="260"/>
      <c r="J19" s="260"/>
      <c r="K19" s="261"/>
      <c r="L19" s="260"/>
      <c r="N19" s="276" t="s">
        <v>418</v>
      </c>
      <c r="O19" s="237"/>
      <c r="P19" s="260"/>
      <c r="Q19" s="260"/>
      <c r="R19" s="261"/>
      <c r="S19" s="260"/>
      <c r="T19" s="255"/>
    </row>
    <row r="20" spans="1:20" ht="12.75">
      <c r="A20" s="247"/>
      <c r="B20" s="237" t="s">
        <v>395</v>
      </c>
      <c r="C20" s="260"/>
      <c r="D20" s="260"/>
      <c r="E20" s="261"/>
      <c r="F20" s="260"/>
      <c r="H20" s="237" t="s">
        <v>532</v>
      </c>
      <c r="I20" s="260"/>
      <c r="J20" s="260"/>
      <c r="K20" s="261"/>
      <c r="L20" s="260"/>
      <c r="N20" s="276" t="s">
        <v>491</v>
      </c>
      <c r="O20" s="237"/>
      <c r="P20" s="260"/>
      <c r="Q20" s="260"/>
      <c r="R20" s="261"/>
      <c r="S20" s="260"/>
      <c r="T20" s="255"/>
    </row>
    <row r="21" spans="1:20" ht="12.75">
      <c r="A21" s="247"/>
      <c r="B21" s="237" t="s">
        <v>396</v>
      </c>
      <c r="C21" s="260"/>
      <c r="D21" s="260"/>
      <c r="E21" s="261"/>
      <c r="F21" s="260"/>
      <c r="H21" s="237" t="s">
        <v>546</v>
      </c>
      <c r="I21" s="260"/>
      <c r="J21" s="260"/>
      <c r="K21" s="261"/>
      <c r="L21" s="260"/>
      <c r="N21" s="276" t="s">
        <v>572</v>
      </c>
      <c r="O21" s="237"/>
      <c r="P21" s="260"/>
      <c r="Q21" s="240"/>
      <c r="R21" s="261"/>
      <c r="S21" s="260"/>
      <c r="T21" s="255"/>
    </row>
    <row r="22" spans="1:20" ht="13.5" thickBot="1">
      <c r="A22" s="247"/>
      <c r="B22" s="240"/>
      <c r="C22" s="240"/>
      <c r="D22" s="240"/>
      <c r="E22" s="259"/>
      <c r="F22" s="240"/>
      <c r="H22" s="235" t="s">
        <v>562</v>
      </c>
      <c r="I22" s="240"/>
      <c r="J22" s="240"/>
      <c r="K22" s="259"/>
      <c r="L22" s="240"/>
      <c r="N22" s="276" t="s">
        <v>574</v>
      </c>
      <c r="O22" s="237"/>
      <c r="P22" s="260"/>
      <c r="Q22" s="260"/>
      <c r="R22" s="261"/>
      <c r="S22" s="260"/>
      <c r="T22" s="255"/>
    </row>
    <row r="23" spans="1:20" ht="13.5" thickTop="1">
      <c r="A23" s="247"/>
      <c r="B23" s="248" t="s">
        <v>398</v>
      </c>
      <c r="C23" s="240"/>
      <c r="D23" s="240"/>
      <c r="E23" s="259"/>
      <c r="F23" s="240"/>
      <c r="H23" s="256" t="s">
        <v>563</v>
      </c>
      <c r="I23" s="257"/>
      <c r="J23" s="257"/>
      <c r="K23" s="258"/>
      <c r="L23" s="257"/>
      <c r="N23" s="276" t="s">
        <v>573</v>
      </c>
      <c r="O23" s="237"/>
      <c r="P23" s="260"/>
      <c r="Q23" s="260"/>
      <c r="R23" s="261"/>
      <c r="S23" s="260"/>
      <c r="T23" s="255"/>
    </row>
    <row r="24" spans="1:20" ht="13.5" thickBot="1">
      <c r="A24" s="247"/>
      <c r="B24" s="240"/>
      <c r="C24" s="240"/>
      <c r="D24" s="240"/>
      <c r="E24" s="259"/>
      <c r="F24" s="240"/>
      <c r="H24" s="237" t="s">
        <v>564</v>
      </c>
      <c r="I24" s="260"/>
      <c r="J24" s="260"/>
      <c r="K24" s="261"/>
      <c r="L24" s="260"/>
      <c r="N24" s="276" t="s">
        <v>492</v>
      </c>
      <c r="O24" s="237"/>
      <c r="P24" s="260"/>
      <c r="Q24" s="260"/>
      <c r="R24" s="261"/>
      <c r="S24" s="260"/>
      <c r="T24" s="255"/>
    </row>
    <row r="25" spans="1:20" ht="13.5" thickTop="1">
      <c r="A25" s="247"/>
      <c r="B25" s="256" t="s">
        <v>399</v>
      </c>
      <c r="C25" s="257"/>
      <c r="D25" s="257"/>
      <c r="E25" s="258"/>
      <c r="F25" s="257"/>
      <c r="H25" s="237" t="s">
        <v>565</v>
      </c>
      <c r="I25" s="260"/>
      <c r="J25" s="260"/>
      <c r="K25" s="261"/>
      <c r="L25" s="260"/>
      <c r="N25" s="276" t="s">
        <v>493</v>
      </c>
      <c r="O25" s="237"/>
      <c r="P25" s="260"/>
      <c r="Q25" s="260"/>
      <c r="R25" s="261"/>
      <c r="S25" s="260"/>
      <c r="T25" s="255"/>
    </row>
    <row r="26" spans="1:20" ht="12.75">
      <c r="A26" s="247"/>
      <c r="B26" s="237" t="s">
        <v>400</v>
      </c>
      <c r="C26" s="260"/>
      <c r="D26" s="260"/>
      <c r="E26" s="261"/>
      <c r="F26" s="260"/>
      <c r="H26" s="237" t="s">
        <v>566</v>
      </c>
      <c r="I26" s="260"/>
      <c r="J26" s="260"/>
      <c r="K26" s="261"/>
      <c r="L26" s="260"/>
      <c r="N26" s="276" t="s">
        <v>494</v>
      </c>
      <c r="O26" s="237"/>
      <c r="P26" s="260"/>
      <c r="Q26" s="260"/>
      <c r="R26" s="261"/>
      <c r="S26" s="260"/>
      <c r="T26" s="255"/>
    </row>
    <row r="27" spans="1:20" ht="12.75">
      <c r="A27" s="247"/>
      <c r="B27" s="237" t="s">
        <v>401</v>
      </c>
      <c r="C27" s="260"/>
      <c r="D27" s="260"/>
      <c r="E27" s="261"/>
      <c r="F27" s="260"/>
      <c r="H27" s="237" t="s">
        <v>567</v>
      </c>
      <c r="I27" s="260"/>
      <c r="J27" s="260"/>
      <c r="K27" s="261"/>
      <c r="L27" s="260"/>
      <c r="N27" s="276" t="s">
        <v>475</v>
      </c>
      <c r="O27" s="237"/>
      <c r="P27" s="260"/>
      <c r="Q27" s="260"/>
      <c r="R27" s="261"/>
      <c r="S27" s="260"/>
      <c r="T27" s="255"/>
    </row>
    <row r="28" spans="1:20" ht="12.75">
      <c r="A28" s="247"/>
      <c r="B28" s="237" t="s">
        <v>571</v>
      </c>
      <c r="C28" s="260"/>
      <c r="D28" s="260"/>
      <c r="E28" s="261"/>
      <c r="F28" s="260"/>
      <c r="H28" s="237" t="s">
        <v>569</v>
      </c>
      <c r="I28" s="260"/>
      <c r="J28" s="260"/>
      <c r="K28" s="261"/>
      <c r="L28" s="260"/>
      <c r="N28" s="276" t="s">
        <v>480</v>
      </c>
      <c r="O28" s="237"/>
      <c r="P28" s="260"/>
      <c r="Q28" s="260"/>
      <c r="R28" s="261"/>
      <c r="S28" s="260"/>
      <c r="T28" s="255"/>
    </row>
    <row r="29" spans="1:20" ht="12.75">
      <c r="A29" s="247"/>
      <c r="B29" s="237" t="s">
        <v>402</v>
      </c>
      <c r="C29" s="260"/>
      <c r="D29" s="260"/>
      <c r="E29" s="261"/>
      <c r="F29" s="260"/>
      <c r="H29" s="237" t="s">
        <v>568</v>
      </c>
      <c r="I29" s="260"/>
      <c r="J29" s="260"/>
      <c r="K29" s="261"/>
      <c r="L29" s="260"/>
      <c r="N29" s="276" t="s">
        <v>476</v>
      </c>
      <c r="O29" s="237"/>
      <c r="P29" s="260"/>
      <c r="Q29" s="260"/>
      <c r="R29" s="261"/>
      <c r="S29" s="260"/>
      <c r="T29" s="255"/>
    </row>
    <row r="30" spans="1:20" ht="12.75">
      <c r="A30" s="247"/>
      <c r="B30" s="240"/>
      <c r="C30" s="240"/>
      <c r="D30" s="240"/>
      <c r="E30" s="259"/>
      <c r="F30" s="240"/>
      <c r="H30" s="268" t="s">
        <v>570</v>
      </c>
      <c r="I30" s="269"/>
      <c r="J30" s="269"/>
      <c r="K30" s="270"/>
      <c r="L30" s="269"/>
      <c r="N30" s="276" t="s">
        <v>477</v>
      </c>
      <c r="O30" s="237"/>
      <c r="P30" s="260"/>
      <c r="Q30" s="260"/>
      <c r="R30" s="261"/>
      <c r="S30" s="260"/>
      <c r="T30" s="255"/>
    </row>
    <row r="31" spans="1:20" ht="13.5" thickBot="1">
      <c r="A31" s="247"/>
      <c r="B31" s="248" t="s">
        <v>403</v>
      </c>
      <c r="C31" s="240"/>
      <c r="D31" s="240"/>
      <c r="E31" s="259"/>
      <c r="F31" s="240"/>
      <c r="H31" s="235" t="s">
        <v>534</v>
      </c>
      <c r="I31" s="240"/>
      <c r="J31" s="240"/>
      <c r="K31" s="259"/>
      <c r="L31" s="240"/>
      <c r="N31" s="276" t="s">
        <v>478</v>
      </c>
      <c r="O31" s="237"/>
      <c r="P31" s="260"/>
      <c r="Q31" s="260"/>
      <c r="R31" s="261"/>
      <c r="S31" s="260"/>
      <c r="T31" s="255"/>
    </row>
    <row r="32" spans="1:20" ht="14.25" thickBot="1" thickTop="1">
      <c r="A32" s="247"/>
      <c r="B32" s="240"/>
      <c r="C32" s="240"/>
      <c r="D32" s="240"/>
      <c r="E32" s="259"/>
      <c r="F32" s="240"/>
      <c r="H32" s="256" t="s">
        <v>535</v>
      </c>
      <c r="I32" s="257"/>
      <c r="J32" s="257"/>
      <c r="K32" s="258"/>
      <c r="L32" s="257"/>
      <c r="N32" s="276" t="s">
        <v>479</v>
      </c>
      <c r="O32" s="237"/>
      <c r="P32" s="260"/>
      <c r="Q32" s="260"/>
      <c r="R32" s="261"/>
      <c r="S32" s="260"/>
      <c r="T32" s="255"/>
    </row>
    <row r="33" spans="1:20" ht="13.5" thickTop="1">
      <c r="A33" s="247"/>
      <c r="B33" s="256" t="s">
        <v>404</v>
      </c>
      <c r="C33" s="257"/>
      <c r="D33" s="257"/>
      <c r="E33" s="258"/>
      <c r="F33" s="257"/>
      <c r="H33" s="237" t="s">
        <v>536</v>
      </c>
      <c r="I33" s="260"/>
      <c r="J33" s="260"/>
      <c r="K33" s="261"/>
      <c r="L33" s="260"/>
      <c r="N33" s="276" t="s">
        <v>480</v>
      </c>
      <c r="O33" s="237"/>
      <c r="P33" s="260"/>
      <c r="Q33" s="260"/>
      <c r="R33" s="261"/>
      <c r="S33" s="260"/>
      <c r="T33" s="255"/>
    </row>
    <row r="34" spans="1:20" ht="12.75">
      <c r="A34" s="247"/>
      <c r="B34" s="237" t="s">
        <v>405</v>
      </c>
      <c r="C34" s="260"/>
      <c r="D34" s="260"/>
      <c r="E34" s="261"/>
      <c r="F34" s="260"/>
      <c r="H34" s="237" t="s">
        <v>539</v>
      </c>
      <c r="I34" s="260"/>
      <c r="J34" s="260"/>
      <c r="K34" s="261"/>
      <c r="L34" s="260"/>
      <c r="N34" s="276" t="s">
        <v>481</v>
      </c>
      <c r="O34" s="237"/>
      <c r="P34" s="260"/>
      <c r="Q34" s="260"/>
      <c r="R34" s="261"/>
      <c r="S34" s="260"/>
      <c r="T34" s="255"/>
    </row>
    <row r="35" spans="1:20" ht="12.75">
      <c r="A35" s="247"/>
      <c r="B35" s="237" t="s">
        <v>438</v>
      </c>
      <c r="C35" s="260"/>
      <c r="D35" s="260"/>
      <c r="E35" s="261"/>
      <c r="F35" s="260"/>
      <c r="H35" s="237" t="s">
        <v>540</v>
      </c>
      <c r="I35" s="260"/>
      <c r="J35" s="260"/>
      <c r="K35" s="261"/>
      <c r="L35" s="260"/>
      <c r="N35" s="240"/>
      <c r="O35" s="240"/>
      <c r="P35" s="240"/>
      <c r="Q35" s="240"/>
      <c r="R35" s="259"/>
      <c r="S35" s="240"/>
      <c r="T35" s="255"/>
    </row>
    <row r="36" spans="1:20" ht="12.75">
      <c r="A36" s="247"/>
      <c r="B36" s="237" t="s">
        <v>406</v>
      </c>
      <c r="C36" s="260"/>
      <c r="D36" s="260"/>
      <c r="E36" s="261"/>
      <c r="F36" s="260"/>
      <c r="H36" s="237" t="s">
        <v>538</v>
      </c>
      <c r="I36" s="260"/>
      <c r="J36" s="260"/>
      <c r="K36" s="261"/>
      <c r="L36" s="260"/>
      <c r="N36" s="248" t="s">
        <v>555</v>
      </c>
      <c r="O36" s="248"/>
      <c r="P36" s="240"/>
      <c r="Q36" s="240"/>
      <c r="R36" s="259"/>
      <c r="S36" s="240"/>
      <c r="T36" s="255"/>
    </row>
    <row r="37" spans="1:20" ht="13.5" thickBot="1">
      <c r="A37" s="247"/>
      <c r="B37" s="237" t="s">
        <v>407</v>
      </c>
      <c r="C37" s="260"/>
      <c r="D37" s="260"/>
      <c r="E37" s="261"/>
      <c r="F37" s="260"/>
      <c r="H37" s="237" t="s">
        <v>537</v>
      </c>
      <c r="I37" s="260"/>
      <c r="J37" s="260"/>
      <c r="K37" s="261"/>
      <c r="L37" s="260"/>
      <c r="N37" s="240"/>
      <c r="O37" s="240"/>
      <c r="P37" s="233" t="s">
        <v>591</v>
      </c>
      <c r="Q37" s="240"/>
      <c r="R37" s="240"/>
      <c r="S37" s="240"/>
      <c r="T37" s="255"/>
    </row>
    <row r="38" spans="1:20" ht="13.5" thickTop="1">
      <c r="A38" s="247"/>
      <c r="B38" s="237" t="s">
        <v>408</v>
      </c>
      <c r="C38" s="260"/>
      <c r="D38" s="260"/>
      <c r="E38" s="261"/>
      <c r="F38" s="260"/>
      <c r="H38" s="237" t="s">
        <v>541</v>
      </c>
      <c r="I38" s="260"/>
      <c r="J38" s="260"/>
      <c r="K38" s="261"/>
      <c r="L38" s="260"/>
      <c r="N38" s="275" t="s">
        <v>495</v>
      </c>
      <c r="O38" s="256"/>
      <c r="P38" s="277">
        <f>ROUND(((de+ag+For+con+int)/10)+1,0)</f>
        <v>7</v>
      </c>
      <c r="Q38" s="257"/>
      <c r="R38" s="258"/>
      <c r="S38" s="257"/>
      <c r="T38" s="255"/>
    </row>
    <row r="39" spans="1:20" ht="12.75">
      <c r="A39" s="247"/>
      <c r="B39" s="240"/>
      <c r="C39" s="240"/>
      <c r="D39" s="240"/>
      <c r="E39" s="259"/>
      <c r="F39" s="240"/>
      <c r="H39" s="237" t="s">
        <v>542</v>
      </c>
      <c r="I39" s="260"/>
      <c r="J39" s="260"/>
      <c r="K39" s="261"/>
      <c r="L39" s="260"/>
      <c r="N39" s="276" t="s">
        <v>583</v>
      </c>
      <c r="O39" s="237"/>
      <c r="P39" s="278">
        <f>ROUND((de+ag)/4+1,0)</f>
        <v>7</v>
      </c>
      <c r="Q39" s="260"/>
      <c r="R39" s="261"/>
      <c r="S39" s="260"/>
      <c r="T39" s="255"/>
    </row>
    <row r="40" spans="1:20" ht="12.75">
      <c r="A40" s="247"/>
      <c r="B40" s="248" t="s">
        <v>409</v>
      </c>
      <c r="C40" s="240"/>
      <c r="D40" s="240"/>
      <c r="E40" s="259"/>
      <c r="F40" s="240"/>
      <c r="H40" s="237" t="s">
        <v>543</v>
      </c>
      <c r="I40" s="260"/>
      <c r="J40" s="260"/>
      <c r="K40" s="261"/>
      <c r="L40" s="260"/>
      <c r="N40" s="276" t="s">
        <v>585</v>
      </c>
      <c r="O40" s="237"/>
      <c r="P40" s="278">
        <f>ROUND((de+ag)/4+1,0)</f>
        <v>7</v>
      </c>
      <c r="Q40" s="260"/>
      <c r="R40" s="261"/>
      <c r="S40" s="260"/>
      <c r="T40" s="255"/>
    </row>
    <row r="41" spans="1:20" ht="13.5" thickBot="1">
      <c r="A41" s="247"/>
      <c r="B41" s="240"/>
      <c r="C41" s="240"/>
      <c r="D41" s="240"/>
      <c r="E41" s="259"/>
      <c r="F41" s="240"/>
      <c r="H41" s="237" t="s">
        <v>544</v>
      </c>
      <c r="I41" s="260"/>
      <c r="J41" s="260"/>
      <c r="K41" s="261"/>
      <c r="L41" s="260"/>
      <c r="N41" s="276" t="s">
        <v>588</v>
      </c>
      <c r="O41" s="237"/>
      <c r="P41" s="278">
        <f>ROUND((de+ag+For)/6+1,0)</f>
        <v>7</v>
      </c>
      <c r="Q41" s="260"/>
      <c r="R41" s="261"/>
      <c r="S41" s="260"/>
      <c r="T41" s="255"/>
    </row>
    <row r="42" spans="1:20" ht="13.5" thickTop="1">
      <c r="A42" s="247"/>
      <c r="B42" s="256" t="s">
        <v>410</v>
      </c>
      <c r="C42" s="257"/>
      <c r="D42" s="257"/>
      <c r="E42" s="258"/>
      <c r="F42" s="257"/>
      <c r="H42" s="237" t="s">
        <v>545</v>
      </c>
      <c r="I42" s="260"/>
      <c r="J42" s="260"/>
      <c r="K42" s="261"/>
      <c r="L42" s="260"/>
      <c r="N42" s="282" t="s">
        <v>590</v>
      </c>
      <c r="O42" s="237"/>
      <c r="P42" s="278">
        <f>ROUND((de+ag+For)/6+1,0)</f>
        <v>7</v>
      </c>
      <c r="Q42" s="260"/>
      <c r="R42" s="261"/>
      <c r="S42" s="260"/>
      <c r="T42" s="255"/>
    </row>
    <row r="43" spans="1:20" ht="12.75">
      <c r="A43" s="247"/>
      <c r="B43" s="237" t="s">
        <v>411</v>
      </c>
      <c r="C43" s="260"/>
      <c r="D43" s="260"/>
      <c r="E43" s="261"/>
      <c r="F43" s="260"/>
      <c r="H43" s="237" t="s">
        <v>548</v>
      </c>
      <c r="I43" s="260"/>
      <c r="J43" s="260"/>
      <c r="K43" s="261"/>
      <c r="L43" s="260"/>
      <c r="N43" s="276" t="s">
        <v>584</v>
      </c>
      <c r="O43" s="237"/>
      <c r="P43" s="278">
        <f>ROUND((de+ag+For)/6+1,0)</f>
        <v>7</v>
      </c>
      <c r="Q43" s="260"/>
      <c r="R43" s="261"/>
      <c r="S43" s="260"/>
      <c r="T43" s="255"/>
    </row>
    <row r="44" spans="1:20" ht="13.5" thickBot="1">
      <c r="A44" s="247"/>
      <c r="B44" s="237" t="s">
        <v>412</v>
      </c>
      <c r="C44" s="260"/>
      <c r="D44" s="260"/>
      <c r="E44" s="261"/>
      <c r="F44" s="260"/>
      <c r="H44" s="235" t="s">
        <v>549</v>
      </c>
      <c r="I44" s="240"/>
      <c r="J44" s="240"/>
      <c r="K44" s="259"/>
      <c r="L44" s="240"/>
      <c r="N44" s="276" t="s">
        <v>586</v>
      </c>
      <c r="O44" s="237"/>
      <c r="P44" s="278">
        <f>ROUND((de+ag)/6+1,0)</f>
        <v>5</v>
      </c>
      <c r="Q44" s="260"/>
      <c r="R44" s="261"/>
      <c r="S44" s="260"/>
      <c r="T44" s="255"/>
    </row>
    <row r="45" spans="1:20" ht="12.75">
      <c r="A45" s="247"/>
      <c r="B45" s="237" t="s">
        <v>413</v>
      </c>
      <c r="C45" s="260"/>
      <c r="D45" s="260"/>
      <c r="E45" s="261"/>
      <c r="F45" s="260"/>
      <c r="H45" s="271" t="s">
        <v>561</v>
      </c>
      <c r="I45" s="272"/>
      <c r="J45" s="272"/>
      <c r="K45" s="273"/>
      <c r="L45" s="272"/>
      <c r="N45" s="276" t="s">
        <v>587</v>
      </c>
      <c r="O45" s="237"/>
      <c r="P45" s="278">
        <f>ROUND((de+ag+For)/6+1,0)</f>
        <v>7</v>
      </c>
      <c r="Q45" s="260"/>
      <c r="R45" s="261"/>
      <c r="S45" s="260"/>
      <c r="T45" s="255"/>
    </row>
    <row r="46" spans="1:20" ht="12.75">
      <c r="A46" s="247"/>
      <c r="B46" s="237" t="s">
        <v>414</v>
      </c>
      <c r="C46" s="260"/>
      <c r="D46" s="260"/>
      <c r="E46" s="261"/>
      <c r="F46" s="260"/>
      <c r="H46" s="237" t="s">
        <v>552</v>
      </c>
      <c r="I46" s="260"/>
      <c r="J46" s="260"/>
      <c r="K46" s="261"/>
      <c r="L46" s="260"/>
      <c r="N46" s="276" t="s">
        <v>496</v>
      </c>
      <c r="O46" s="237"/>
      <c r="P46" s="278">
        <f>ROUND(3+(de+ag+For)/6,0)</f>
        <v>9</v>
      </c>
      <c r="Q46" s="260"/>
      <c r="R46" s="261"/>
      <c r="S46" s="260"/>
      <c r="T46" s="255"/>
    </row>
    <row r="47" spans="1:20" ht="12.75">
      <c r="A47" s="247"/>
      <c r="B47" s="237" t="s">
        <v>415</v>
      </c>
      <c r="C47" s="260"/>
      <c r="D47" s="260"/>
      <c r="E47" s="261"/>
      <c r="F47" s="260"/>
      <c r="H47" s="237" t="s">
        <v>554</v>
      </c>
      <c r="I47" s="260"/>
      <c r="J47" s="260"/>
      <c r="K47" s="261"/>
      <c r="L47" s="260"/>
      <c r="N47" s="276" t="s">
        <v>612</v>
      </c>
      <c r="O47" s="237"/>
      <c r="P47" s="278">
        <f>ROUND(3+(de+ag+For)/6,0)</f>
        <v>9</v>
      </c>
      <c r="Q47" s="260"/>
      <c r="R47" s="261"/>
      <c r="S47" s="260"/>
      <c r="T47" s="255"/>
    </row>
    <row r="48" spans="1:20" ht="13.5" thickBot="1">
      <c r="A48" s="247"/>
      <c r="B48" s="237" t="s">
        <v>416</v>
      </c>
      <c r="C48" s="260"/>
      <c r="D48" s="260"/>
      <c r="E48" s="261"/>
      <c r="F48" s="260"/>
      <c r="H48" s="235" t="s">
        <v>579</v>
      </c>
      <c r="I48" s="240"/>
      <c r="J48" s="240"/>
      <c r="K48" s="259"/>
      <c r="L48" s="240"/>
      <c r="N48" s="282" t="s">
        <v>589</v>
      </c>
      <c r="O48" s="237"/>
      <c r="P48" s="278">
        <f>ROUND((de+ag+For)/6+1,0)</f>
        <v>7</v>
      </c>
      <c r="Q48" s="260"/>
      <c r="R48" s="261"/>
      <c r="S48" s="260"/>
      <c r="T48" s="255"/>
    </row>
    <row r="49" spans="1:20" ht="13.5" thickTop="1">
      <c r="A49" s="247"/>
      <c r="B49" s="237" t="s">
        <v>417</v>
      </c>
      <c r="C49" s="260"/>
      <c r="D49" s="260"/>
      <c r="E49" s="261"/>
      <c r="F49" s="260"/>
      <c r="H49" s="256" t="s">
        <v>575</v>
      </c>
      <c r="I49" s="257"/>
      <c r="J49" s="257"/>
      <c r="K49" s="258"/>
      <c r="L49" s="257"/>
      <c r="N49" s="240"/>
      <c r="O49" s="240"/>
      <c r="P49" s="240"/>
      <c r="Q49" s="240"/>
      <c r="R49" s="259"/>
      <c r="S49" s="240"/>
      <c r="T49" s="255"/>
    </row>
    <row r="50" spans="1:20" ht="12.75">
      <c r="A50" s="247"/>
      <c r="B50" s="237" t="s">
        <v>418</v>
      </c>
      <c r="C50" s="260"/>
      <c r="D50" s="260"/>
      <c r="E50" s="261"/>
      <c r="F50" s="260"/>
      <c r="H50" s="237" t="s">
        <v>578</v>
      </c>
      <c r="I50" s="260"/>
      <c r="J50" s="260"/>
      <c r="K50" s="261"/>
      <c r="L50" s="260"/>
      <c r="N50" s="248" t="s">
        <v>336</v>
      </c>
      <c r="O50" s="248"/>
      <c r="P50" s="240"/>
      <c r="Q50" s="240"/>
      <c r="R50" s="259"/>
      <c r="S50" s="240"/>
      <c r="T50" s="255"/>
    </row>
    <row r="51" spans="1:20" ht="13.5" thickBot="1">
      <c r="A51" s="247"/>
      <c r="B51" s="237" t="s">
        <v>419</v>
      </c>
      <c r="C51" s="260"/>
      <c r="D51" s="260"/>
      <c r="E51" s="261"/>
      <c r="F51" s="260"/>
      <c r="H51" s="237" t="s">
        <v>577</v>
      </c>
      <c r="I51" s="260"/>
      <c r="J51" s="260"/>
      <c r="K51" s="261"/>
      <c r="L51" s="260"/>
      <c r="N51" s="240"/>
      <c r="O51" s="240"/>
      <c r="P51" s="240"/>
      <c r="Q51" s="240"/>
      <c r="R51" s="259"/>
      <c r="S51" s="240"/>
      <c r="T51" s="255"/>
    </row>
    <row r="52" spans="1:20" ht="14.25" thickTop="1">
      <c r="A52" s="247"/>
      <c r="B52" s="237" t="s">
        <v>547</v>
      </c>
      <c r="C52" s="260"/>
      <c r="D52" s="260"/>
      <c r="E52" s="261"/>
      <c r="F52" s="260"/>
      <c r="H52" s="237" t="s">
        <v>576</v>
      </c>
      <c r="I52" s="260"/>
      <c r="J52" s="260"/>
      <c r="K52" s="261"/>
      <c r="L52" s="260"/>
      <c r="N52" s="256" t="s">
        <v>501</v>
      </c>
      <c r="O52" s="279" t="s">
        <v>558</v>
      </c>
      <c r="P52" s="257"/>
      <c r="Q52" s="257"/>
      <c r="R52" s="274"/>
      <c r="S52" s="256"/>
      <c r="T52" s="255"/>
    </row>
    <row r="53" spans="1:20" ht="14.25" thickBot="1">
      <c r="A53" s="247"/>
      <c r="B53" s="237" t="s">
        <v>420</v>
      </c>
      <c r="C53" s="260"/>
      <c r="D53" s="260"/>
      <c r="E53" s="261"/>
      <c r="F53" s="260"/>
      <c r="H53" s="235" t="s">
        <v>580</v>
      </c>
      <c r="I53" s="240"/>
      <c r="J53" s="240"/>
      <c r="K53" s="259"/>
      <c r="L53" s="240"/>
      <c r="N53" s="237" t="s">
        <v>500</v>
      </c>
      <c r="O53" s="280" t="s">
        <v>559</v>
      </c>
      <c r="P53" s="260"/>
      <c r="Q53" s="260"/>
      <c r="R53" s="261"/>
      <c r="S53" s="260"/>
      <c r="T53" s="255"/>
    </row>
    <row r="54" spans="1:20" ht="13.5">
      <c r="A54" s="247"/>
      <c r="B54" s="240"/>
      <c r="C54" s="240"/>
      <c r="D54" s="240"/>
      <c r="E54" s="259"/>
      <c r="F54" s="240"/>
      <c r="H54" s="271" t="s">
        <v>550</v>
      </c>
      <c r="I54" s="272"/>
      <c r="J54" s="272"/>
      <c r="K54" s="273"/>
      <c r="L54" s="272"/>
      <c r="N54" s="237" t="s">
        <v>499</v>
      </c>
      <c r="O54" s="280" t="s">
        <v>560</v>
      </c>
      <c r="P54" s="260"/>
      <c r="Q54" s="260"/>
      <c r="R54" s="261"/>
      <c r="S54" s="260"/>
      <c r="T54" s="255"/>
    </row>
    <row r="55" spans="1:20" ht="13.5">
      <c r="A55" s="247"/>
      <c r="B55" s="248" t="s">
        <v>421</v>
      </c>
      <c r="C55" s="240"/>
      <c r="D55" s="240"/>
      <c r="E55" s="259"/>
      <c r="F55" s="240"/>
      <c r="H55" s="237" t="s">
        <v>553</v>
      </c>
      <c r="I55" s="260"/>
      <c r="J55" s="260"/>
      <c r="K55" s="261"/>
      <c r="L55" s="260"/>
      <c r="N55" s="237" t="s">
        <v>498</v>
      </c>
      <c r="O55" s="281" t="s">
        <v>582</v>
      </c>
      <c r="P55" s="260"/>
      <c r="Q55" s="260"/>
      <c r="R55" s="261"/>
      <c r="S55" s="260"/>
      <c r="T55" s="255"/>
    </row>
    <row r="56" spans="1:20" ht="14.25" thickBot="1">
      <c r="A56" s="247"/>
      <c r="B56" s="240"/>
      <c r="C56" s="240"/>
      <c r="D56" s="240"/>
      <c r="E56" s="259"/>
      <c r="F56" s="240"/>
      <c r="H56" s="237" t="s">
        <v>551</v>
      </c>
      <c r="I56" s="260"/>
      <c r="J56" s="260"/>
      <c r="K56" s="261"/>
      <c r="L56" s="260"/>
      <c r="N56" s="237" t="s">
        <v>497</v>
      </c>
      <c r="O56" s="281" t="s">
        <v>582</v>
      </c>
      <c r="P56" s="260"/>
      <c r="Q56" s="260"/>
      <c r="R56" s="261"/>
      <c r="S56" s="260"/>
      <c r="T56" s="255"/>
    </row>
    <row r="57" spans="1:20" ht="14.25" thickTop="1">
      <c r="A57" s="247"/>
      <c r="B57" s="256" t="s">
        <v>422</v>
      </c>
      <c r="C57" s="257"/>
      <c r="D57" s="257"/>
      <c r="E57" s="258"/>
      <c r="F57" s="257"/>
      <c r="H57" s="240"/>
      <c r="I57" s="240"/>
      <c r="J57" s="240"/>
      <c r="K57" s="259"/>
      <c r="L57" s="240"/>
      <c r="N57" s="237" t="s">
        <v>502</v>
      </c>
      <c r="O57" s="281" t="s">
        <v>582</v>
      </c>
      <c r="P57" s="260"/>
      <c r="Q57" s="260"/>
      <c r="R57" s="261"/>
      <c r="S57" s="260"/>
      <c r="T57" s="255"/>
    </row>
    <row r="58" spans="1:20" ht="13.5">
      <c r="A58" s="247"/>
      <c r="B58" s="237" t="s">
        <v>423</v>
      </c>
      <c r="C58" s="260"/>
      <c r="D58" s="260"/>
      <c r="E58" s="261"/>
      <c r="F58" s="260"/>
      <c r="H58" s="238" t="s">
        <v>437</v>
      </c>
      <c r="I58" s="240"/>
      <c r="J58" s="240"/>
      <c r="K58" s="259"/>
      <c r="L58" s="240"/>
      <c r="N58" s="237" t="s">
        <v>503</v>
      </c>
      <c r="O58" s="281"/>
      <c r="P58" s="260"/>
      <c r="Q58" s="260"/>
      <c r="R58" s="261"/>
      <c r="S58" s="260"/>
      <c r="T58" s="255"/>
    </row>
    <row r="59" spans="1:20" ht="14.25" thickBot="1">
      <c r="A59" s="247"/>
      <c r="B59" s="237" t="s">
        <v>424</v>
      </c>
      <c r="C59" s="260"/>
      <c r="D59" s="260"/>
      <c r="E59" s="261"/>
      <c r="F59" s="260"/>
      <c r="H59" s="240"/>
      <c r="I59" s="240"/>
      <c r="J59" s="240"/>
      <c r="K59" s="259"/>
      <c r="L59" s="240"/>
      <c r="N59" s="237" t="s">
        <v>557</v>
      </c>
      <c r="O59" s="281"/>
      <c r="P59" s="260"/>
      <c r="Q59" s="260"/>
      <c r="R59" s="261"/>
      <c r="S59" s="260"/>
      <c r="T59" s="255"/>
    </row>
    <row r="60" spans="1:20" ht="14.25" thickTop="1">
      <c r="A60" s="247"/>
      <c r="B60" s="237" t="s">
        <v>425</v>
      </c>
      <c r="C60" s="260"/>
      <c r="D60" s="260"/>
      <c r="E60" s="261"/>
      <c r="F60" s="260"/>
      <c r="H60" s="256" t="s">
        <v>439</v>
      </c>
      <c r="I60" s="257"/>
      <c r="J60" s="257"/>
      <c r="K60" s="258"/>
      <c r="L60" s="257"/>
      <c r="N60" s="237" t="s">
        <v>504</v>
      </c>
      <c r="O60" s="281"/>
      <c r="P60" s="260"/>
      <c r="Q60" s="260"/>
      <c r="R60" s="261"/>
      <c r="S60" s="260"/>
      <c r="T60" s="255"/>
    </row>
    <row r="61" spans="1:20" ht="13.5">
      <c r="A61" s="247"/>
      <c r="B61" s="237" t="s">
        <v>426</v>
      </c>
      <c r="C61" s="260"/>
      <c r="D61" s="260"/>
      <c r="E61" s="261"/>
      <c r="F61" s="260"/>
      <c r="H61" s="237" t="s">
        <v>440</v>
      </c>
      <c r="I61" s="260"/>
      <c r="J61" s="260"/>
      <c r="K61" s="261"/>
      <c r="L61" s="260"/>
      <c r="N61" s="237" t="s">
        <v>505</v>
      </c>
      <c r="O61" s="281"/>
      <c r="P61" s="260"/>
      <c r="Q61" s="260"/>
      <c r="R61" s="261"/>
      <c r="S61" s="260"/>
      <c r="T61" s="255"/>
    </row>
    <row r="62" spans="1:20" ht="13.5">
      <c r="A62" s="247"/>
      <c r="B62" s="237" t="s">
        <v>427</v>
      </c>
      <c r="C62" s="260"/>
      <c r="D62" s="260"/>
      <c r="E62" s="261"/>
      <c r="F62" s="260"/>
      <c r="H62" s="237" t="s">
        <v>441</v>
      </c>
      <c r="I62" s="260"/>
      <c r="J62" s="260"/>
      <c r="K62" s="261"/>
      <c r="L62" s="260"/>
      <c r="N62" s="237" t="s">
        <v>507</v>
      </c>
      <c r="O62" s="281"/>
      <c r="P62" s="260"/>
      <c r="Q62" s="260"/>
      <c r="R62" s="261"/>
      <c r="S62" s="260"/>
      <c r="T62" s="255"/>
    </row>
    <row r="63" spans="1:20" ht="13.5">
      <c r="A63" s="247"/>
      <c r="B63" s="237" t="s">
        <v>428</v>
      </c>
      <c r="C63" s="260"/>
      <c r="D63" s="260"/>
      <c r="E63" s="261"/>
      <c r="F63" s="260"/>
      <c r="H63" s="237" t="s">
        <v>181</v>
      </c>
      <c r="I63" s="260"/>
      <c r="J63" s="260"/>
      <c r="K63" s="261"/>
      <c r="L63" s="260"/>
      <c r="N63" s="237" t="s">
        <v>506</v>
      </c>
      <c r="O63" s="281"/>
      <c r="P63" s="260"/>
      <c r="Q63" s="260"/>
      <c r="R63" s="261"/>
      <c r="S63" s="260"/>
      <c r="T63" s="255"/>
    </row>
    <row r="64" spans="1:20" ht="13.5">
      <c r="A64" s="247"/>
      <c r="B64" s="237" t="s">
        <v>429</v>
      </c>
      <c r="C64" s="260"/>
      <c r="D64" s="260"/>
      <c r="E64" s="261"/>
      <c r="F64" s="260"/>
      <c r="H64" s="237" t="s">
        <v>442</v>
      </c>
      <c r="I64" s="260"/>
      <c r="J64" s="260"/>
      <c r="K64" s="261"/>
      <c r="L64" s="260"/>
      <c r="N64" s="237" t="s">
        <v>508</v>
      </c>
      <c r="O64" s="281"/>
      <c r="P64" s="260"/>
      <c r="Q64" s="260"/>
      <c r="R64" s="261"/>
      <c r="S64" s="260"/>
      <c r="T64" s="255"/>
    </row>
    <row r="65" spans="1:20" ht="13.5">
      <c r="A65" s="247"/>
      <c r="B65" s="263" t="s">
        <v>430</v>
      </c>
      <c r="C65" s="263"/>
      <c r="D65" s="263"/>
      <c r="E65" s="264"/>
      <c r="F65" s="263"/>
      <c r="H65" s="237" t="s">
        <v>443</v>
      </c>
      <c r="I65" s="260"/>
      <c r="J65" s="260"/>
      <c r="K65" s="261"/>
      <c r="L65" s="260"/>
      <c r="N65" s="237" t="s">
        <v>581</v>
      </c>
      <c r="O65" s="281"/>
      <c r="P65" s="260"/>
      <c r="Q65" s="260"/>
      <c r="R65" s="261"/>
      <c r="S65" s="260"/>
      <c r="T65" s="255"/>
    </row>
    <row r="66" spans="1:20" ht="13.5">
      <c r="A66" s="247"/>
      <c r="B66" s="265" t="s">
        <v>431</v>
      </c>
      <c r="C66" s="265"/>
      <c r="D66" s="265"/>
      <c r="E66" s="266"/>
      <c r="F66" s="265"/>
      <c r="H66" s="237" t="s">
        <v>444</v>
      </c>
      <c r="I66" s="260"/>
      <c r="J66" s="260"/>
      <c r="K66" s="261"/>
      <c r="L66" s="260"/>
      <c r="N66" s="237" t="s">
        <v>509</v>
      </c>
      <c r="O66" s="281"/>
      <c r="P66" s="260"/>
      <c r="Q66" s="260"/>
      <c r="R66" s="261"/>
      <c r="S66" s="260"/>
      <c r="T66" s="255"/>
    </row>
    <row r="67" spans="1:20" ht="13.5">
      <c r="A67" s="247"/>
      <c r="B67" s="265" t="s">
        <v>432</v>
      </c>
      <c r="C67" s="265"/>
      <c r="D67" s="265"/>
      <c r="E67" s="266"/>
      <c r="F67" s="265"/>
      <c r="H67" s="237" t="s">
        <v>445</v>
      </c>
      <c r="I67" s="260"/>
      <c r="J67" s="260"/>
      <c r="K67" s="261"/>
      <c r="L67" s="260"/>
      <c r="N67" s="237" t="s">
        <v>510</v>
      </c>
      <c r="O67" s="281"/>
      <c r="P67" s="260"/>
      <c r="Q67" s="260"/>
      <c r="R67" s="261"/>
      <c r="S67" s="260"/>
      <c r="T67" s="255"/>
    </row>
    <row r="68" spans="1:20" ht="13.5">
      <c r="A68" s="247"/>
      <c r="B68" s="265" t="s">
        <v>433</v>
      </c>
      <c r="C68" s="265"/>
      <c r="D68" s="265"/>
      <c r="E68" s="266"/>
      <c r="F68" s="265"/>
      <c r="H68" s="237" t="s">
        <v>470</v>
      </c>
      <c r="I68" s="260"/>
      <c r="J68" s="260"/>
      <c r="K68" s="261"/>
      <c r="L68" s="260"/>
      <c r="N68" s="237" t="s">
        <v>511</v>
      </c>
      <c r="O68" s="281"/>
      <c r="P68" s="260"/>
      <c r="Q68" s="260"/>
      <c r="R68" s="261"/>
      <c r="S68" s="260"/>
      <c r="T68" s="255"/>
    </row>
    <row r="69" spans="1:20" ht="13.5">
      <c r="A69" s="247"/>
      <c r="B69" s="265" t="s">
        <v>434</v>
      </c>
      <c r="C69" s="265"/>
      <c r="D69" s="265"/>
      <c r="E69" s="266"/>
      <c r="F69" s="265"/>
      <c r="H69" s="237" t="s">
        <v>610</v>
      </c>
      <c r="I69" s="260"/>
      <c r="J69" s="260"/>
      <c r="K69" s="261"/>
      <c r="L69" s="260"/>
      <c r="N69" s="237" t="s">
        <v>513</v>
      </c>
      <c r="O69" s="281"/>
      <c r="P69" s="260"/>
      <c r="Q69" s="260"/>
      <c r="R69" s="261"/>
      <c r="S69" s="260"/>
      <c r="T69" s="255"/>
    </row>
    <row r="70" spans="1:20" ht="13.5">
      <c r="A70" s="247"/>
      <c r="B70" s="265" t="s">
        <v>435</v>
      </c>
      <c r="C70" s="265"/>
      <c r="D70" s="265"/>
      <c r="E70" s="266"/>
      <c r="F70" s="265"/>
      <c r="H70" s="237" t="s">
        <v>446</v>
      </c>
      <c r="I70" s="260"/>
      <c r="J70" s="260"/>
      <c r="K70" s="261"/>
      <c r="L70" s="260"/>
      <c r="N70" s="237" t="s">
        <v>512</v>
      </c>
      <c r="O70" s="281"/>
      <c r="P70" s="260"/>
      <c r="Q70" s="260"/>
      <c r="R70" s="261"/>
      <c r="S70" s="260"/>
      <c r="T70" s="255"/>
    </row>
    <row r="71" spans="1:20" ht="13.5">
      <c r="A71" s="247"/>
      <c r="B71" s="265"/>
      <c r="C71" s="265"/>
      <c r="D71" s="265"/>
      <c r="E71" s="266"/>
      <c r="F71" s="265"/>
      <c r="H71" s="237" t="s">
        <v>447</v>
      </c>
      <c r="I71" s="260"/>
      <c r="J71" s="260"/>
      <c r="K71" s="261"/>
      <c r="L71" s="260"/>
      <c r="N71" s="237" t="s">
        <v>514</v>
      </c>
      <c r="O71" s="281"/>
      <c r="P71" s="260"/>
      <c r="Q71" s="260"/>
      <c r="R71" s="261"/>
      <c r="S71" s="260"/>
      <c r="T71" s="255"/>
    </row>
    <row r="72" spans="1:20" ht="13.5">
      <c r="A72" s="247"/>
      <c r="B72" s="265"/>
      <c r="C72" s="265"/>
      <c r="D72" s="265"/>
      <c r="E72" s="266"/>
      <c r="F72" s="265"/>
      <c r="H72" s="237" t="s">
        <v>448</v>
      </c>
      <c r="I72" s="260"/>
      <c r="J72" s="260"/>
      <c r="K72" s="261"/>
      <c r="L72" s="260"/>
      <c r="N72" s="237" t="s">
        <v>515</v>
      </c>
      <c r="O72" s="281"/>
      <c r="P72" s="260"/>
      <c r="Q72" s="260"/>
      <c r="R72" s="261"/>
      <c r="S72" s="260"/>
      <c r="T72" s="255"/>
    </row>
    <row r="73" spans="1:20" ht="12.75">
      <c r="A73" s="247"/>
      <c r="B73" s="265"/>
      <c r="C73" s="265"/>
      <c r="D73" s="265"/>
      <c r="E73" s="266"/>
      <c r="F73" s="265"/>
      <c r="H73" s="240"/>
      <c r="I73" s="240"/>
      <c r="J73" s="240"/>
      <c r="K73" s="259"/>
      <c r="L73" s="240"/>
      <c r="N73" s="240"/>
      <c r="O73" s="240"/>
      <c r="P73" s="240"/>
      <c r="Q73" s="240"/>
      <c r="R73" s="259"/>
      <c r="S73" s="240"/>
      <c r="T73" s="255"/>
    </row>
    <row r="74" spans="1:20" ht="12.75">
      <c r="A74" s="247"/>
      <c r="B74" s="265"/>
      <c r="C74" s="265"/>
      <c r="D74" s="265"/>
      <c r="E74" s="266"/>
      <c r="F74" s="265"/>
      <c r="H74" s="248" t="s">
        <v>449</v>
      </c>
      <c r="I74" s="240"/>
      <c r="J74" s="240"/>
      <c r="K74" s="259"/>
      <c r="L74" s="240"/>
      <c r="N74" s="248" t="s">
        <v>592</v>
      </c>
      <c r="O74" s="248"/>
      <c r="P74" s="240"/>
      <c r="Q74" s="240"/>
      <c r="R74" s="259"/>
      <c r="S74" s="240"/>
      <c r="T74" s="255"/>
    </row>
    <row r="75" spans="1:20" ht="13.5" thickBot="1">
      <c r="A75" s="247"/>
      <c r="B75" s="265"/>
      <c r="C75" s="265"/>
      <c r="D75" s="265"/>
      <c r="E75" s="266"/>
      <c r="F75" s="265"/>
      <c r="H75" s="240"/>
      <c r="I75" s="240"/>
      <c r="J75" s="240"/>
      <c r="K75" s="259"/>
      <c r="L75" s="240"/>
      <c r="N75" s="240"/>
      <c r="O75" s="240"/>
      <c r="P75" s="240"/>
      <c r="Q75" s="240"/>
      <c r="R75" s="259"/>
      <c r="S75" s="240"/>
      <c r="T75" s="255"/>
    </row>
    <row r="76" spans="1:20" ht="14.25" thickTop="1">
      <c r="A76" s="247"/>
      <c r="B76" s="265"/>
      <c r="C76" s="265"/>
      <c r="D76" s="265"/>
      <c r="E76" s="266"/>
      <c r="F76" s="265"/>
      <c r="H76" s="256" t="s">
        <v>450</v>
      </c>
      <c r="I76" s="257"/>
      <c r="J76" s="257"/>
      <c r="K76" s="258"/>
      <c r="L76" s="257"/>
      <c r="N76" s="275" t="s">
        <v>593</v>
      </c>
      <c r="O76" s="283"/>
      <c r="P76" s="257"/>
      <c r="Q76" s="257"/>
      <c r="R76" s="258"/>
      <c r="S76" s="257"/>
      <c r="T76" s="255"/>
    </row>
    <row r="77" spans="1:20" ht="13.5">
      <c r="A77" s="247"/>
      <c r="B77" s="265"/>
      <c r="C77" s="265"/>
      <c r="D77" s="265"/>
      <c r="E77" s="266"/>
      <c r="F77" s="265"/>
      <c r="H77" s="237" t="s">
        <v>451</v>
      </c>
      <c r="I77" s="260"/>
      <c r="J77" s="260"/>
      <c r="K77" s="261"/>
      <c r="L77" s="260"/>
      <c r="N77" s="276" t="s">
        <v>594</v>
      </c>
      <c r="O77" s="281"/>
      <c r="P77" s="260"/>
      <c r="Q77" s="260"/>
      <c r="R77" s="261"/>
      <c r="S77" s="260"/>
      <c r="T77" s="255"/>
    </row>
    <row r="78" spans="1:20" ht="13.5">
      <c r="A78" s="247"/>
      <c r="B78" s="265"/>
      <c r="C78" s="265"/>
      <c r="D78" s="265"/>
      <c r="E78" s="266"/>
      <c r="F78" s="265"/>
      <c r="H78" s="237" t="s">
        <v>453</v>
      </c>
      <c r="I78" s="260"/>
      <c r="J78" s="260"/>
      <c r="K78" s="261"/>
      <c r="L78" s="260"/>
      <c r="N78" s="276" t="s">
        <v>595</v>
      </c>
      <c r="O78" s="281"/>
      <c r="P78" s="260"/>
      <c r="Q78" s="260"/>
      <c r="R78" s="261"/>
      <c r="S78" s="260"/>
      <c r="T78" s="255"/>
    </row>
    <row r="79" spans="1:20" ht="13.5">
      <c r="A79" s="247"/>
      <c r="B79" s="265"/>
      <c r="C79" s="265"/>
      <c r="D79" s="265"/>
      <c r="E79" s="266"/>
      <c r="F79" s="265"/>
      <c r="H79" s="237" t="s">
        <v>452</v>
      </c>
      <c r="I79" s="260"/>
      <c r="J79" s="260"/>
      <c r="K79" s="261"/>
      <c r="L79" s="260"/>
      <c r="N79" s="276" t="s">
        <v>596</v>
      </c>
      <c r="O79" s="281"/>
      <c r="P79" s="260"/>
      <c r="Q79" s="260"/>
      <c r="R79" s="261"/>
      <c r="S79" s="260"/>
      <c r="T79" s="287"/>
    </row>
    <row r="80" spans="1:20" ht="13.5">
      <c r="A80" s="247"/>
      <c r="B80" s="265"/>
      <c r="C80" s="265"/>
      <c r="D80" s="265"/>
      <c r="E80" s="266"/>
      <c r="F80" s="265"/>
      <c r="H80" s="237" t="s">
        <v>454</v>
      </c>
      <c r="I80" s="260"/>
      <c r="J80" s="260"/>
      <c r="K80" s="261"/>
      <c r="L80" s="260"/>
      <c r="N80" s="276" t="s">
        <v>597</v>
      </c>
      <c r="O80" s="281"/>
      <c r="P80" s="260"/>
      <c r="Q80" s="260"/>
      <c r="R80" s="261"/>
      <c r="S80" s="260"/>
      <c r="T80" s="255"/>
    </row>
    <row r="81" spans="1:20" ht="13.5">
      <c r="A81" s="247"/>
      <c r="B81" s="265"/>
      <c r="C81" s="265"/>
      <c r="D81" s="265"/>
      <c r="E81" s="266"/>
      <c r="F81" s="265"/>
      <c r="H81" s="237" t="s">
        <v>455</v>
      </c>
      <c r="I81" s="260"/>
      <c r="J81" s="260"/>
      <c r="K81" s="261"/>
      <c r="L81" s="260"/>
      <c r="N81" s="276" t="s">
        <v>598</v>
      </c>
      <c r="O81" s="281"/>
      <c r="P81" s="260"/>
      <c r="Q81" s="260"/>
      <c r="R81" s="261"/>
      <c r="S81" s="260"/>
      <c r="T81" s="255"/>
    </row>
    <row r="82" spans="1:20" ht="13.5">
      <c r="A82" s="247"/>
      <c r="B82" s="265"/>
      <c r="C82" s="265"/>
      <c r="D82" s="265"/>
      <c r="E82" s="266"/>
      <c r="F82" s="265"/>
      <c r="H82" s="237" t="s">
        <v>456</v>
      </c>
      <c r="I82" s="260"/>
      <c r="J82" s="260"/>
      <c r="K82" s="261"/>
      <c r="L82" s="260"/>
      <c r="N82" s="276" t="s">
        <v>599</v>
      </c>
      <c r="O82" s="281"/>
      <c r="P82" s="260"/>
      <c r="Q82" s="260"/>
      <c r="R82" s="261"/>
      <c r="S82" s="260"/>
      <c r="T82" s="255"/>
    </row>
    <row r="83" spans="1:20" ht="13.5">
      <c r="A83" s="247"/>
      <c r="B83" s="265"/>
      <c r="C83" s="265"/>
      <c r="D83" s="265"/>
      <c r="E83" s="266"/>
      <c r="F83" s="265"/>
      <c r="H83" s="237" t="s">
        <v>457</v>
      </c>
      <c r="I83" s="260"/>
      <c r="J83" s="260"/>
      <c r="K83" s="261"/>
      <c r="L83" s="260"/>
      <c r="N83" s="276" t="s">
        <v>600</v>
      </c>
      <c r="O83" s="281"/>
      <c r="P83" s="260"/>
      <c r="Q83" s="260"/>
      <c r="R83" s="261"/>
      <c r="S83" s="260"/>
      <c r="T83" s="255"/>
    </row>
    <row r="84" spans="1:20" ht="13.5">
      <c r="A84" s="247"/>
      <c r="B84" s="265"/>
      <c r="C84" s="265"/>
      <c r="D84" s="265"/>
      <c r="E84" s="266"/>
      <c r="F84" s="265"/>
      <c r="H84" s="237" t="s">
        <v>458</v>
      </c>
      <c r="I84" s="260"/>
      <c r="J84" s="260"/>
      <c r="K84" s="261"/>
      <c r="L84" s="260"/>
      <c r="N84" s="276" t="s">
        <v>601</v>
      </c>
      <c r="O84" s="281"/>
      <c r="P84" s="260"/>
      <c r="Q84" s="260"/>
      <c r="R84" s="261"/>
      <c r="S84" s="260"/>
      <c r="T84" s="255"/>
    </row>
    <row r="85" spans="1:20" ht="13.5">
      <c r="A85" s="247"/>
      <c r="B85" s="265"/>
      <c r="C85" s="265"/>
      <c r="D85" s="265"/>
      <c r="E85" s="266"/>
      <c r="F85" s="265"/>
      <c r="H85" s="237" t="s">
        <v>459</v>
      </c>
      <c r="I85" s="260"/>
      <c r="J85" s="260"/>
      <c r="K85" s="261"/>
      <c r="L85" s="260"/>
      <c r="N85" s="276" t="s">
        <v>613</v>
      </c>
      <c r="O85" s="281"/>
      <c r="P85" s="260"/>
      <c r="Q85" s="260"/>
      <c r="R85" s="261"/>
      <c r="S85" s="260"/>
      <c r="T85" s="255"/>
    </row>
    <row r="86" spans="1:20" ht="13.5">
      <c r="A86" s="247"/>
      <c r="B86" s="265"/>
      <c r="C86" s="265"/>
      <c r="D86" s="265"/>
      <c r="E86" s="266"/>
      <c r="F86" s="265"/>
      <c r="H86" s="237" t="s">
        <v>460</v>
      </c>
      <c r="I86" s="260"/>
      <c r="J86" s="260"/>
      <c r="K86" s="261"/>
      <c r="L86" s="260"/>
      <c r="N86" s="276" t="s">
        <v>602</v>
      </c>
      <c r="O86" s="281"/>
      <c r="P86" s="260"/>
      <c r="Q86" s="260"/>
      <c r="R86" s="261"/>
      <c r="S86" s="260"/>
      <c r="T86" s="255"/>
    </row>
    <row r="87" spans="1:20" ht="13.5">
      <c r="A87" s="247"/>
      <c r="B87" s="265"/>
      <c r="C87" s="265"/>
      <c r="D87" s="265"/>
      <c r="E87" s="266"/>
      <c r="F87" s="265"/>
      <c r="H87" s="237" t="s">
        <v>461</v>
      </c>
      <c r="I87" s="260"/>
      <c r="J87" s="260"/>
      <c r="K87" s="261"/>
      <c r="L87" s="260"/>
      <c r="N87" s="276" t="s">
        <v>603</v>
      </c>
      <c r="O87" s="281"/>
      <c r="P87" s="260"/>
      <c r="Q87" s="260"/>
      <c r="R87" s="261"/>
      <c r="S87" s="260"/>
      <c r="T87" s="255"/>
    </row>
    <row r="88" spans="1:20" ht="13.5">
      <c r="A88" s="247"/>
      <c r="B88" s="265"/>
      <c r="C88" s="265"/>
      <c r="D88" s="265"/>
      <c r="E88" s="266"/>
      <c r="F88" s="265"/>
      <c r="H88" s="237" t="s">
        <v>462</v>
      </c>
      <c r="I88" s="260"/>
      <c r="J88" s="260"/>
      <c r="K88" s="261"/>
      <c r="L88" s="260"/>
      <c r="N88" s="276" t="s">
        <v>604</v>
      </c>
      <c r="O88" s="281"/>
      <c r="P88" s="260"/>
      <c r="Q88" s="260"/>
      <c r="R88" s="261"/>
      <c r="S88" s="260"/>
      <c r="T88" s="255"/>
    </row>
    <row r="89" spans="1:20" ht="13.5">
      <c r="A89" s="247"/>
      <c r="B89" s="265"/>
      <c r="C89" s="265"/>
      <c r="D89" s="265"/>
      <c r="E89" s="266"/>
      <c r="F89" s="265"/>
      <c r="H89" s="237" t="s">
        <v>463</v>
      </c>
      <c r="I89" s="260"/>
      <c r="J89" s="260"/>
      <c r="K89" s="261"/>
      <c r="L89" s="260"/>
      <c r="N89" s="276" t="s">
        <v>605</v>
      </c>
      <c r="O89" s="281"/>
      <c r="P89" s="260"/>
      <c r="Q89" s="260"/>
      <c r="R89" s="261"/>
      <c r="S89" s="260"/>
      <c r="T89" s="255"/>
    </row>
    <row r="90" spans="1:20" ht="13.5">
      <c r="A90" s="247"/>
      <c r="B90" s="265"/>
      <c r="C90" s="265"/>
      <c r="D90" s="265"/>
      <c r="E90" s="266"/>
      <c r="F90" s="265"/>
      <c r="H90" s="237" t="s">
        <v>464</v>
      </c>
      <c r="I90" s="260"/>
      <c r="J90" s="260"/>
      <c r="K90" s="261"/>
      <c r="L90" s="260"/>
      <c r="N90" s="276" t="s">
        <v>606</v>
      </c>
      <c r="O90" s="281"/>
      <c r="P90" s="260"/>
      <c r="Q90" s="260"/>
      <c r="R90" s="261"/>
      <c r="S90" s="260"/>
      <c r="T90" s="255"/>
    </row>
    <row r="91" spans="1:20" ht="13.5">
      <c r="A91" s="247"/>
      <c r="B91" s="265"/>
      <c r="C91" s="265"/>
      <c r="D91" s="265"/>
      <c r="E91" s="266"/>
      <c r="F91" s="265"/>
      <c r="H91" s="237" t="s">
        <v>465</v>
      </c>
      <c r="I91" s="260"/>
      <c r="J91" s="260"/>
      <c r="K91" s="261"/>
      <c r="L91" s="260"/>
      <c r="N91" s="276" t="s">
        <v>607</v>
      </c>
      <c r="O91" s="281"/>
      <c r="P91" s="260"/>
      <c r="Q91" s="260"/>
      <c r="R91" s="261"/>
      <c r="S91" s="260"/>
      <c r="T91" s="255"/>
    </row>
    <row r="92" spans="1:20" ht="13.5">
      <c r="A92" s="247"/>
      <c r="B92" s="265"/>
      <c r="C92" s="265"/>
      <c r="D92" s="265"/>
      <c r="E92" s="266"/>
      <c r="F92" s="265"/>
      <c r="H92" s="237" t="s">
        <v>466</v>
      </c>
      <c r="I92" s="260"/>
      <c r="J92" s="260"/>
      <c r="K92" s="261"/>
      <c r="L92" s="260"/>
      <c r="N92" s="276" t="s">
        <v>608</v>
      </c>
      <c r="O92" s="281"/>
      <c r="P92" s="260"/>
      <c r="Q92" s="260"/>
      <c r="R92" s="261"/>
      <c r="S92" s="260"/>
      <c r="T92" s="255"/>
    </row>
    <row r="93" spans="1:20" ht="13.5">
      <c r="A93" s="247"/>
      <c r="B93" s="265"/>
      <c r="C93" s="265"/>
      <c r="D93" s="265"/>
      <c r="E93" s="266"/>
      <c r="F93" s="265"/>
      <c r="H93" s="237" t="s">
        <v>467</v>
      </c>
      <c r="I93" s="260"/>
      <c r="J93" s="260"/>
      <c r="K93" s="261"/>
      <c r="L93" s="260"/>
      <c r="N93" s="276" t="s">
        <v>609</v>
      </c>
      <c r="O93" s="281"/>
      <c r="P93" s="260"/>
      <c r="Q93" s="260"/>
      <c r="R93" s="261"/>
      <c r="S93" s="260"/>
      <c r="T93" s="255"/>
    </row>
    <row r="94" spans="1:20" ht="13.5">
      <c r="A94" s="247"/>
      <c r="B94" s="265"/>
      <c r="C94" s="265"/>
      <c r="D94" s="265"/>
      <c r="E94" s="266"/>
      <c r="F94" s="265"/>
      <c r="H94" s="237" t="s">
        <v>468</v>
      </c>
      <c r="I94" s="260"/>
      <c r="J94" s="260"/>
      <c r="K94" s="261"/>
      <c r="L94" s="260"/>
      <c r="N94" s="276" t="s">
        <v>614</v>
      </c>
      <c r="O94" s="281"/>
      <c r="P94" s="260"/>
      <c r="Q94" s="260"/>
      <c r="R94" s="261"/>
      <c r="S94" s="260"/>
      <c r="T94" s="255"/>
    </row>
    <row r="95" spans="1:20" ht="13.5" thickBot="1">
      <c r="A95" s="284"/>
      <c r="B95" s="285"/>
      <c r="C95" s="285"/>
      <c r="D95" s="285"/>
      <c r="E95" s="286"/>
      <c r="F95" s="285"/>
      <c r="G95" s="285"/>
      <c r="H95" s="285"/>
      <c r="I95" s="285"/>
      <c r="J95" s="285"/>
      <c r="K95" s="286"/>
      <c r="L95" s="285"/>
      <c r="M95" s="285"/>
      <c r="N95" s="285"/>
      <c r="O95" s="285"/>
      <c r="P95" s="285"/>
      <c r="Q95" s="285"/>
      <c r="R95" s="285"/>
      <c r="S95" s="285"/>
      <c r="T95" s="267"/>
    </row>
    <row r="96" spans="8:18" ht="12.75">
      <c r="H96" s="240"/>
      <c r="I96" s="240"/>
      <c r="J96" s="240"/>
      <c r="K96" s="259"/>
      <c r="L96" s="240"/>
      <c r="R96" s="242"/>
    </row>
    <row r="97" spans="8:18" ht="12.75">
      <c r="H97" s="240"/>
      <c r="I97" s="240"/>
      <c r="J97" s="240"/>
      <c r="K97" s="259"/>
      <c r="L97" s="240"/>
      <c r="R97" s="242"/>
    </row>
    <row r="98" spans="8:12" ht="12.75">
      <c r="H98" s="240"/>
      <c r="I98" s="240"/>
      <c r="J98" s="240"/>
      <c r="K98" s="259"/>
      <c r="L98" s="240"/>
    </row>
    <row r="99" spans="8:12" ht="12.75">
      <c r="H99" s="240"/>
      <c r="I99" s="240"/>
      <c r="J99" s="240"/>
      <c r="K99" s="259"/>
      <c r="L99" s="240"/>
    </row>
    <row r="100" spans="8:12" ht="12.75">
      <c r="H100" s="240"/>
      <c r="I100" s="240"/>
      <c r="J100" s="240"/>
      <c r="K100" s="259"/>
      <c r="L100" s="240"/>
    </row>
    <row r="101" spans="8:12" ht="12.75">
      <c r="H101" s="240"/>
      <c r="I101" s="240"/>
      <c r="J101" s="240"/>
      <c r="K101" s="259"/>
      <c r="L101" s="240"/>
    </row>
    <row r="102" spans="8:12" ht="12.75">
      <c r="H102" s="240"/>
      <c r="I102" s="240"/>
      <c r="J102" s="240"/>
      <c r="K102" s="259"/>
      <c r="L102" s="240"/>
    </row>
    <row r="103" spans="8:12" ht="12.75">
      <c r="H103" s="240"/>
      <c r="I103" s="240"/>
      <c r="J103" s="240"/>
      <c r="K103" s="259"/>
      <c r="L103" s="240"/>
    </row>
    <row r="104" spans="8:12" ht="12.75">
      <c r="H104" s="235"/>
      <c r="I104" s="240"/>
      <c r="J104" s="240"/>
      <c r="K104" s="259"/>
      <c r="L104" s="240"/>
    </row>
    <row r="105" spans="8:12" ht="12.75">
      <c r="H105" s="240"/>
      <c r="I105" s="240"/>
      <c r="J105" s="240"/>
      <c r="K105" s="259"/>
      <c r="L105" s="240"/>
    </row>
    <row r="106" spans="8:12" ht="12.75">
      <c r="H106" s="240"/>
      <c r="I106" s="240"/>
      <c r="J106" s="240"/>
      <c r="K106" s="259"/>
      <c r="L106" s="240"/>
    </row>
    <row r="107" spans="8:12" ht="12.75">
      <c r="H107" s="240"/>
      <c r="I107" s="240"/>
      <c r="J107" s="240"/>
      <c r="K107" s="259"/>
      <c r="L107" s="240"/>
    </row>
    <row r="108" spans="8:12" ht="12.75">
      <c r="H108" s="240"/>
      <c r="I108" s="240"/>
      <c r="J108" s="240"/>
      <c r="K108" s="259"/>
      <c r="L108" s="240"/>
    </row>
    <row r="109" spans="8:12" ht="12.75">
      <c r="H109" s="240"/>
      <c r="I109" s="240"/>
      <c r="J109" s="240"/>
      <c r="K109" s="259"/>
      <c r="L109" s="240"/>
    </row>
    <row r="110" spans="8:12" ht="12.75">
      <c r="H110" s="240"/>
      <c r="I110" s="240"/>
      <c r="J110" s="240"/>
      <c r="K110" s="259"/>
      <c r="L110" s="240"/>
    </row>
    <row r="111" spans="8:12" ht="12.75">
      <c r="H111" s="240"/>
      <c r="I111" s="240"/>
      <c r="J111" s="240"/>
      <c r="K111" s="259"/>
      <c r="L111" s="240"/>
    </row>
    <row r="112" spans="8:12" ht="12.75">
      <c r="H112" s="240"/>
      <c r="I112" s="240"/>
      <c r="J112" s="240"/>
      <c r="K112" s="259"/>
      <c r="L112" s="240"/>
    </row>
    <row r="113" spans="8:12" ht="12.75">
      <c r="H113" s="235"/>
      <c r="I113" s="240"/>
      <c r="J113" s="240"/>
      <c r="K113" s="259"/>
      <c r="L113" s="240"/>
    </row>
    <row r="114" spans="8:12" ht="12.75">
      <c r="H114" s="240"/>
      <c r="I114" s="240"/>
      <c r="J114" s="240"/>
      <c r="K114" s="259"/>
      <c r="L114" s="240"/>
    </row>
    <row r="115" spans="8:12" ht="12.75">
      <c r="H115" s="240"/>
      <c r="I115" s="240"/>
      <c r="J115" s="240"/>
      <c r="K115" s="259"/>
      <c r="L115" s="240"/>
    </row>
    <row r="116" spans="8:12" ht="12.75">
      <c r="H116" s="240"/>
      <c r="I116" s="240"/>
      <c r="J116" s="240"/>
      <c r="K116" s="259"/>
      <c r="L116" s="240"/>
    </row>
    <row r="117" spans="8:12" ht="12.75">
      <c r="H117" s="240"/>
      <c r="I117" s="240"/>
      <c r="J117" s="240"/>
      <c r="K117" s="259"/>
      <c r="L117" s="240"/>
    </row>
    <row r="118" spans="8:12" ht="12.75">
      <c r="H118" s="240"/>
      <c r="I118" s="240"/>
      <c r="J118" s="240"/>
      <c r="K118" s="259"/>
      <c r="L118" s="240"/>
    </row>
    <row r="119" spans="8:12" ht="12.75">
      <c r="H119" s="240"/>
      <c r="I119" s="240"/>
      <c r="J119" s="240"/>
      <c r="K119" s="259"/>
      <c r="L119" s="240"/>
    </row>
    <row r="120" spans="8:12" ht="12.75">
      <c r="H120" s="240"/>
      <c r="I120" s="240"/>
      <c r="J120" s="240"/>
      <c r="K120" s="259"/>
      <c r="L120" s="240"/>
    </row>
    <row r="121" spans="8:12" ht="12.75">
      <c r="H121" s="240"/>
      <c r="I121" s="240"/>
      <c r="J121" s="240"/>
      <c r="K121" s="259"/>
      <c r="L121" s="240"/>
    </row>
    <row r="122" spans="8:12" ht="12.75">
      <c r="H122" s="240"/>
      <c r="I122" s="240"/>
      <c r="J122" s="240"/>
      <c r="K122" s="259"/>
      <c r="L122" s="240"/>
    </row>
    <row r="123" spans="8:12" ht="12.75">
      <c r="H123" s="240"/>
      <c r="I123" s="240"/>
      <c r="J123" s="240"/>
      <c r="K123" s="259"/>
      <c r="L123" s="240"/>
    </row>
    <row r="124" spans="8:12" ht="12.75">
      <c r="H124" s="240"/>
      <c r="I124" s="240"/>
      <c r="J124" s="240"/>
      <c r="K124" s="259"/>
      <c r="L124" s="240"/>
    </row>
    <row r="125" spans="8:12" ht="12.75">
      <c r="H125" s="240"/>
      <c r="I125" s="240"/>
      <c r="J125" s="240"/>
      <c r="K125" s="259"/>
      <c r="L125" s="240"/>
    </row>
    <row r="126" spans="8:12" ht="12.75">
      <c r="H126" s="235"/>
      <c r="I126" s="240"/>
      <c r="J126" s="240"/>
      <c r="K126" s="259"/>
      <c r="L126" s="240"/>
    </row>
    <row r="127" spans="8:12" ht="12.75">
      <c r="H127" s="240"/>
      <c r="I127" s="240"/>
      <c r="J127" s="240"/>
      <c r="K127" s="259"/>
      <c r="L127" s="240"/>
    </row>
    <row r="128" spans="8:12" ht="12.75">
      <c r="H128" s="240"/>
      <c r="I128" s="240"/>
      <c r="J128" s="240"/>
      <c r="K128" s="259"/>
      <c r="L128" s="240"/>
    </row>
    <row r="129" spans="8:12" ht="12.75">
      <c r="H129" s="240"/>
      <c r="I129" s="240"/>
      <c r="J129" s="240"/>
      <c r="K129" s="259"/>
      <c r="L129" s="240"/>
    </row>
    <row r="130" spans="8:12" ht="12.75">
      <c r="H130" s="240"/>
      <c r="I130" s="240"/>
      <c r="J130" s="240"/>
      <c r="K130" s="259"/>
      <c r="L130" s="240"/>
    </row>
    <row r="131" spans="8:12" ht="12.75">
      <c r="H131" s="240"/>
      <c r="I131" s="240"/>
      <c r="J131" s="240"/>
      <c r="K131" s="259"/>
      <c r="L131" s="240"/>
    </row>
    <row r="132" spans="8:12" ht="12.75">
      <c r="H132" s="240"/>
      <c r="I132" s="240"/>
      <c r="J132" s="240"/>
      <c r="K132" s="259"/>
      <c r="L132" s="240"/>
    </row>
  </sheetData>
  <sheetProtection password="F5B3" sheet="1" objects="1" scenarios="1"/>
  <printOptions horizontalCentered="1" verticalCentered="1"/>
  <pageMargins left="0.2755905511811024" right="0.2755905511811024" top="0.35433070866141736" bottom="0.2755905511811024" header="0.31496062992125984" footer="0.46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7">
      <selection activeCell="O31" sqref="O31"/>
    </sheetView>
  </sheetViews>
  <sheetFormatPr defaultColWidth="11.421875" defaultRowHeight="12.75"/>
  <cols>
    <col min="1" max="1" width="2.421875" style="117" customWidth="1"/>
    <col min="2" max="2" width="11.28125" style="117" customWidth="1"/>
    <col min="3" max="3" width="3.28125" style="117" customWidth="1"/>
    <col min="4" max="5" width="3.421875" style="117" customWidth="1"/>
    <col min="6" max="10" width="3.28125" style="117" customWidth="1"/>
    <col min="11" max="20" width="2.7109375" style="117" customWidth="1"/>
    <col min="21" max="23" width="2.8515625" style="117" customWidth="1"/>
    <col min="24" max="24" width="3.57421875" style="117" customWidth="1"/>
    <col min="25" max="29" width="3.28125" style="117" customWidth="1"/>
    <col min="30" max="30" width="2.7109375" style="117" customWidth="1"/>
    <col min="31" max="16384" width="4.421875" style="117" customWidth="1"/>
  </cols>
  <sheetData>
    <row r="1" spans="1:26" ht="14.25" thickBo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26" ht="15">
      <c r="A2" s="118"/>
      <c r="B2" s="134" t="s">
        <v>330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41"/>
      <c r="O2" s="141"/>
      <c r="P2" s="141"/>
      <c r="Q2" s="115"/>
      <c r="R2" s="115"/>
      <c r="S2" s="115"/>
      <c r="T2" s="115"/>
      <c r="U2" s="115"/>
      <c r="V2" s="115"/>
      <c r="W2" s="115"/>
      <c r="X2" s="115"/>
      <c r="Y2" s="218">
        <f>'Tirage initial'!B8</f>
        <v>0</v>
      </c>
      <c r="Z2" s="120"/>
    </row>
    <row r="3" spans="1:26" ht="8.25" customHeight="1">
      <c r="A3" s="118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21" t="s">
        <v>334</v>
      </c>
      <c r="O3" s="21"/>
      <c r="P3" s="21"/>
      <c r="Q3" s="142"/>
      <c r="R3" s="216"/>
      <c r="S3" s="216"/>
      <c r="T3" s="216"/>
      <c r="U3" s="216"/>
      <c r="V3" s="216"/>
      <c r="W3" s="216"/>
      <c r="X3" s="216"/>
      <c r="Y3" s="219"/>
      <c r="Z3" s="120"/>
    </row>
    <row r="4" spans="1:26" ht="13.5">
      <c r="A4" s="118"/>
      <c r="B4" s="118"/>
      <c r="C4" s="119"/>
      <c r="D4" s="119"/>
      <c r="E4" s="135" t="s">
        <v>331</v>
      </c>
      <c r="F4" s="216"/>
      <c r="G4" s="216"/>
      <c r="H4" s="216"/>
      <c r="I4" s="216"/>
      <c r="J4" s="216"/>
      <c r="K4" s="136" t="s">
        <v>252</v>
      </c>
      <c r="L4" s="119"/>
      <c r="M4" s="221"/>
      <c r="N4" s="221"/>
      <c r="O4" s="221"/>
      <c r="P4" s="221"/>
      <c r="Q4" s="217"/>
      <c r="R4" s="217"/>
      <c r="S4" s="217"/>
      <c r="T4" s="217"/>
      <c r="U4" s="217"/>
      <c r="V4" s="217"/>
      <c r="W4" s="217"/>
      <c r="X4" s="217"/>
      <c r="Y4" s="219"/>
      <c r="Z4" s="120"/>
    </row>
    <row r="5" spans="1:26" ht="8.25" customHeight="1">
      <c r="A5" s="118"/>
      <c r="B5" s="118"/>
      <c r="C5" s="119"/>
      <c r="D5" s="119"/>
      <c r="E5" s="119"/>
      <c r="F5" s="217"/>
      <c r="G5" s="217"/>
      <c r="H5" s="217"/>
      <c r="I5" s="217"/>
      <c r="J5" s="217"/>
      <c r="K5" s="119"/>
      <c r="L5" s="119"/>
      <c r="M5" s="221"/>
      <c r="N5" s="221"/>
      <c r="O5" s="221"/>
      <c r="P5" s="221"/>
      <c r="Q5" s="216"/>
      <c r="R5" s="216"/>
      <c r="S5" s="216"/>
      <c r="T5" s="216"/>
      <c r="U5" s="216"/>
      <c r="V5" s="216"/>
      <c r="W5" s="216"/>
      <c r="X5" s="216"/>
      <c r="Y5" s="219"/>
      <c r="Z5" s="120"/>
    </row>
    <row r="6" spans="1:26" ht="13.5">
      <c r="A6" s="118"/>
      <c r="B6" s="118"/>
      <c r="C6" s="119"/>
      <c r="D6" s="119"/>
      <c r="E6" s="140" t="s">
        <v>332</v>
      </c>
      <c r="F6" s="216"/>
      <c r="G6" s="216"/>
      <c r="H6" s="216"/>
      <c r="I6" s="216"/>
      <c r="J6" s="216"/>
      <c r="K6" s="119"/>
      <c r="L6" s="119"/>
      <c r="M6" s="221"/>
      <c r="N6" s="221"/>
      <c r="O6" s="221"/>
      <c r="P6" s="221"/>
      <c r="Q6" s="217"/>
      <c r="R6" s="217"/>
      <c r="S6" s="217"/>
      <c r="T6" s="217"/>
      <c r="U6" s="217"/>
      <c r="V6" s="217"/>
      <c r="W6" s="217"/>
      <c r="X6" s="217"/>
      <c r="Y6" s="219"/>
      <c r="Z6" s="120"/>
    </row>
    <row r="7" spans="1:26" ht="8.25" customHeight="1">
      <c r="A7" s="118"/>
      <c r="B7" s="118"/>
      <c r="C7" s="119"/>
      <c r="D7" s="119"/>
      <c r="E7" s="119"/>
      <c r="F7" s="217"/>
      <c r="G7" s="217"/>
      <c r="H7" s="217"/>
      <c r="I7" s="217"/>
      <c r="J7" s="217"/>
      <c r="K7" s="119"/>
      <c r="L7" s="119"/>
      <c r="M7" s="221"/>
      <c r="N7" s="221"/>
      <c r="O7" s="221"/>
      <c r="P7" s="221"/>
      <c r="Q7" s="216"/>
      <c r="R7" s="216"/>
      <c r="S7" s="216"/>
      <c r="T7" s="216"/>
      <c r="U7" s="216"/>
      <c r="V7" s="216"/>
      <c r="W7" s="216"/>
      <c r="X7" s="216"/>
      <c r="Y7" s="219"/>
      <c r="Z7" s="120"/>
    </row>
    <row r="8" spans="1:26" ht="13.5">
      <c r="A8" s="118"/>
      <c r="B8" s="118"/>
      <c r="C8" s="119"/>
      <c r="D8" s="119"/>
      <c r="E8" s="135" t="s">
        <v>333</v>
      </c>
      <c r="F8" s="216"/>
      <c r="G8" s="216"/>
      <c r="H8" s="216"/>
      <c r="I8" s="216"/>
      <c r="J8" s="216"/>
      <c r="K8" s="119"/>
      <c r="L8" s="119"/>
      <c r="M8" s="221"/>
      <c r="N8" s="221"/>
      <c r="O8" s="221"/>
      <c r="P8" s="221"/>
      <c r="Q8" s="217"/>
      <c r="R8" s="217"/>
      <c r="S8" s="217"/>
      <c r="T8" s="217"/>
      <c r="U8" s="217"/>
      <c r="V8" s="217"/>
      <c r="W8" s="217"/>
      <c r="X8" s="217"/>
      <c r="Y8" s="219"/>
      <c r="Z8" s="120"/>
    </row>
    <row r="9" spans="1:26" ht="8.25" customHeight="1" thickBot="1">
      <c r="A9" s="118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222"/>
      <c r="N9" s="222"/>
      <c r="O9" s="222"/>
      <c r="P9" s="222"/>
      <c r="Q9" s="138"/>
      <c r="R9" s="138"/>
      <c r="S9" s="138"/>
      <c r="T9" s="138"/>
      <c r="U9" s="138"/>
      <c r="V9" s="138"/>
      <c r="W9" s="138"/>
      <c r="X9" s="138"/>
      <c r="Y9" s="220"/>
      <c r="Z9" s="120"/>
    </row>
    <row r="10" spans="1:26" ht="11.25" customHeight="1" thickBot="1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20"/>
    </row>
    <row r="11" spans="1:26" ht="13.5">
      <c r="A11" s="118"/>
      <c r="B11" s="114" t="s">
        <v>335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20"/>
    </row>
    <row r="12" spans="1:26" ht="13.5">
      <c r="A12" s="118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9"/>
      <c r="Z12" s="120"/>
    </row>
    <row r="13" spans="1:26" ht="13.5">
      <c r="A13" s="118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9"/>
      <c r="Z13" s="120"/>
    </row>
    <row r="14" spans="1:26" ht="13.5">
      <c r="A14" s="118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9"/>
      <c r="Z14" s="120"/>
    </row>
    <row r="15" spans="1:26" ht="13.5">
      <c r="A15" s="118"/>
      <c r="B15" s="207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9"/>
      <c r="Z15" s="120"/>
    </row>
    <row r="16" spans="1:26" ht="13.5">
      <c r="A16" s="118"/>
      <c r="B16" s="207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9"/>
      <c r="Z16" s="120"/>
    </row>
    <row r="17" spans="1:26" ht="13.5">
      <c r="A17" s="118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9"/>
      <c r="Z17" s="120"/>
    </row>
    <row r="18" spans="1:26" ht="13.5">
      <c r="A18" s="118"/>
      <c r="B18" s="207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9"/>
      <c r="Z18" s="120"/>
    </row>
    <row r="19" spans="1:26" ht="13.5">
      <c r="A19" s="118"/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9"/>
      <c r="Z19" s="120"/>
    </row>
    <row r="20" spans="1:26" ht="13.5">
      <c r="A20" s="118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9"/>
      <c r="Z20" s="120"/>
    </row>
    <row r="21" spans="1:26" ht="12" customHeight="1">
      <c r="A21" s="118"/>
      <c r="B21" s="210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2"/>
      <c r="Z21" s="120"/>
    </row>
    <row r="22" spans="1:26" ht="12" customHeight="1">
      <c r="A22" s="118"/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2"/>
      <c r="Z22" s="120"/>
    </row>
    <row r="23" spans="1:26" ht="12" customHeight="1">
      <c r="A23" s="118"/>
      <c r="B23" s="210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2"/>
      <c r="Z23" s="120"/>
    </row>
    <row r="24" spans="1:26" ht="12" customHeight="1">
      <c r="A24" s="118"/>
      <c r="B24" s="210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2"/>
      <c r="Z24" s="120"/>
    </row>
    <row r="25" spans="1:26" ht="12" customHeight="1" thickBot="1">
      <c r="A25" s="118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5"/>
      <c r="Z25" s="120"/>
    </row>
    <row r="26" spans="1:26" ht="11.25" customHeight="1" thickBo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</row>
    <row r="27" spans="1:26" s="13" customFormat="1" ht="13.5">
      <c r="A27" s="19"/>
      <c r="B27" s="156"/>
      <c r="C27" s="158"/>
      <c r="D27" s="157"/>
      <c r="E27" s="24"/>
      <c r="F27" s="159" t="s">
        <v>351</v>
      </c>
      <c r="G27" s="160"/>
      <c r="H27" s="160"/>
      <c r="I27" s="160"/>
      <c r="J27" s="161"/>
      <c r="K27" s="162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63"/>
      <c r="Z27" s="20"/>
    </row>
    <row r="28" spans="1:26" s="13" customFormat="1" ht="60">
      <c r="A28" s="19"/>
      <c r="B28" s="171" t="s">
        <v>336</v>
      </c>
      <c r="C28" s="167" t="s">
        <v>250</v>
      </c>
      <c r="D28" s="169" t="s">
        <v>367</v>
      </c>
      <c r="E28" s="168" t="s">
        <v>337</v>
      </c>
      <c r="F28" s="148" t="s">
        <v>338</v>
      </c>
      <c r="G28" s="149" t="s">
        <v>352</v>
      </c>
      <c r="H28" s="149" t="s">
        <v>353</v>
      </c>
      <c r="I28" s="149" t="s">
        <v>353</v>
      </c>
      <c r="J28" s="150" t="s">
        <v>354</v>
      </c>
      <c r="K28" s="144" t="s">
        <v>339</v>
      </c>
      <c r="L28" s="144" t="s">
        <v>340</v>
      </c>
      <c r="M28" s="144" t="s">
        <v>341</v>
      </c>
      <c r="N28" s="144" t="s">
        <v>342</v>
      </c>
      <c r="O28" s="144" t="s">
        <v>343</v>
      </c>
      <c r="P28" s="144" t="s">
        <v>344</v>
      </c>
      <c r="Q28" s="144" t="s">
        <v>346</v>
      </c>
      <c r="R28" s="144" t="s">
        <v>345</v>
      </c>
      <c r="S28" s="144" t="s">
        <v>131</v>
      </c>
      <c r="T28" s="144" t="s">
        <v>130</v>
      </c>
      <c r="U28" s="144" t="s">
        <v>129</v>
      </c>
      <c r="V28" s="145" t="s">
        <v>350</v>
      </c>
      <c r="W28" s="143" t="s">
        <v>348</v>
      </c>
      <c r="X28" s="143" t="s">
        <v>349</v>
      </c>
      <c r="Y28" s="164" t="s">
        <v>347</v>
      </c>
      <c r="Z28" s="20"/>
    </row>
    <row r="29" spans="1:26" s="147" customFormat="1" ht="12.75">
      <c r="A29" s="178"/>
      <c r="B29" s="199" t="s">
        <v>616</v>
      </c>
      <c r="C29" s="200">
        <v>99</v>
      </c>
      <c r="D29" s="201" t="s">
        <v>355</v>
      </c>
      <c r="E29" s="200">
        <v>10</v>
      </c>
      <c r="F29" s="200">
        <v>10</v>
      </c>
      <c r="G29" s="200">
        <v>100</v>
      </c>
      <c r="H29" s="200">
        <v>200</v>
      </c>
      <c r="I29" s="200">
        <v>300</v>
      </c>
      <c r="J29" s="200">
        <v>600</v>
      </c>
      <c r="K29" s="200" t="s">
        <v>129</v>
      </c>
      <c r="L29" s="200">
        <v>1</v>
      </c>
      <c r="M29" s="200">
        <v>2</v>
      </c>
      <c r="N29" s="200">
        <v>3</v>
      </c>
      <c r="O29" s="202">
        <v>4</v>
      </c>
      <c r="P29" s="200">
        <v>5</v>
      </c>
      <c r="Q29" s="200">
        <v>6</v>
      </c>
      <c r="R29" s="200">
        <v>7</v>
      </c>
      <c r="S29" s="200">
        <v>8</v>
      </c>
      <c r="T29" s="200">
        <v>9</v>
      </c>
      <c r="U29" s="200">
        <v>10</v>
      </c>
      <c r="V29" s="200" t="s">
        <v>129</v>
      </c>
      <c r="W29" s="200" t="s">
        <v>129</v>
      </c>
      <c r="X29" s="200" t="s">
        <v>356</v>
      </c>
      <c r="Y29" s="203" t="s">
        <v>362</v>
      </c>
      <c r="Z29" s="179"/>
    </row>
    <row r="30" spans="1:26" s="147" customFormat="1" ht="12.75">
      <c r="A30" s="178"/>
      <c r="B30" s="199"/>
      <c r="C30" s="200"/>
      <c r="D30" s="20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2"/>
      <c r="P30" s="200"/>
      <c r="Q30" s="200"/>
      <c r="R30" s="200"/>
      <c r="S30" s="200"/>
      <c r="T30" s="200"/>
      <c r="U30" s="200"/>
      <c r="V30" s="200"/>
      <c r="W30" s="200"/>
      <c r="X30" s="200"/>
      <c r="Y30" s="203"/>
      <c r="Z30" s="179"/>
    </row>
    <row r="31" spans="1:26" s="147" customFormat="1" ht="12.75">
      <c r="A31" s="178"/>
      <c r="B31" s="199"/>
      <c r="C31" s="200"/>
      <c r="D31" s="201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2"/>
      <c r="P31" s="200"/>
      <c r="Q31" s="200"/>
      <c r="R31" s="200"/>
      <c r="S31" s="200"/>
      <c r="T31" s="200"/>
      <c r="U31" s="200"/>
      <c r="V31" s="200"/>
      <c r="W31" s="200"/>
      <c r="X31" s="200"/>
      <c r="Y31" s="203"/>
      <c r="Z31" s="179"/>
    </row>
    <row r="32" spans="1:26" ht="13.5">
      <c r="A32" s="118"/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  <c r="Z32" s="120"/>
    </row>
    <row r="33" spans="1:26" ht="14.25" thickBot="1">
      <c r="A33" s="118"/>
      <c r="B33" s="194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8"/>
      <c r="Z33" s="120"/>
    </row>
    <row r="34" spans="1:26" ht="11.25" customHeight="1" thickBo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0"/>
    </row>
    <row r="35" spans="1:26" ht="44.25">
      <c r="A35" s="118"/>
      <c r="B35" s="170" t="s">
        <v>368</v>
      </c>
      <c r="C35" s="151" t="s">
        <v>250</v>
      </c>
      <c r="D35" s="152" t="s">
        <v>357</v>
      </c>
      <c r="E35" s="153"/>
      <c r="F35" s="154" t="s">
        <v>253</v>
      </c>
      <c r="G35" s="154" t="s">
        <v>358</v>
      </c>
      <c r="H35" s="154" t="s">
        <v>359</v>
      </c>
      <c r="I35" s="166" t="s">
        <v>366</v>
      </c>
      <c r="J35" s="152" t="s">
        <v>361</v>
      </c>
      <c r="K35" s="153"/>
      <c r="L35" s="154" t="s">
        <v>360</v>
      </c>
      <c r="M35" s="151" t="s">
        <v>339</v>
      </c>
      <c r="N35" s="151" t="s">
        <v>340</v>
      </c>
      <c r="O35" s="151" t="s">
        <v>341</v>
      </c>
      <c r="P35" s="151" t="s">
        <v>342</v>
      </c>
      <c r="Q35" s="151" t="s">
        <v>343</v>
      </c>
      <c r="R35" s="151" t="s">
        <v>344</v>
      </c>
      <c r="S35" s="151" t="s">
        <v>346</v>
      </c>
      <c r="T35" s="151" t="s">
        <v>345</v>
      </c>
      <c r="U35" s="151" t="s">
        <v>131</v>
      </c>
      <c r="V35" s="151" t="s">
        <v>130</v>
      </c>
      <c r="W35" s="151" t="s">
        <v>129</v>
      </c>
      <c r="X35" s="154" t="s">
        <v>350</v>
      </c>
      <c r="Y35" s="155" t="s">
        <v>348</v>
      </c>
      <c r="Z35" s="120"/>
    </row>
    <row r="36" spans="1:26" s="146" customFormat="1" ht="13.5">
      <c r="A36" s="180"/>
      <c r="B36" s="189"/>
      <c r="C36" s="192"/>
      <c r="D36" s="190">
        <v>1</v>
      </c>
      <c r="E36" s="191"/>
      <c r="F36" s="192"/>
      <c r="G36" s="192"/>
      <c r="H36" s="192"/>
      <c r="I36" s="192"/>
      <c r="J36" s="190">
        <v>1</v>
      </c>
      <c r="K36" s="191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3"/>
      <c r="Z36" s="181"/>
    </row>
    <row r="37" spans="1:26" ht="14.25" thickBot="1">
      <c r="A37" s="118"/>
      <c r="B37" s="194"/>
      <c r="C37" s="197"/>
      <c r="D37" s="195"/>
      <c r="E37" s="196"/>
      <c r="F37" s="197"/>
      <c r="G37" s="197"/>
      <c r="H37" s="197"/>
      <c r="I37" s="197"/>
      <c r="J37" s="195"/>
      <c r="K37" s="196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8"/>
      <c r="Z37" s="120"/>
    </row>
    <row r="38" spans="1:26" ht="11.25" customHeight="1" thickBo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20"/>
    </row>
    <row r="39" spans="1:26" ht="41.25">
      <c r="A39" s="118"/>
      <c r="B39" s="170" t="s">
        <v>363</v>
      </c>
      <c r="C39" s="152" t="s">
        <v>250</v>
      </c>
      <c r="D39" s="153"/>
      <c r="E39" s="165" t="s">
        <v>365</v>
      </c>
      <c r="F39" s="153"/>
      <c r="G39" s="152" t="s">
        <v>364</v>
      </c>
      <c r="H39" s="153"/>
      <c r="I39" s="166" t="s">
        <v>366</v>
      </c>
      <c r="J39" s="152" t="s">
        <v>361</v>
      </c>
      <c r="K39" s="153"/>
      <c r="L39" s="154" t="s">
        <v>360</v>
      </c>
      <c r="M39" s="151" t="s">
        <v>339</v>
      </c>
      <c r="N39" s="151" t="s">
        <v>340</v>
      </c>
      <c r="O39" s="151" t="s">
        <v>341</v>
      </c>
      <c r="P39" s="151" t="s">
        <v>342</v>
      </c>
      <c r="Q39" s="151" t="s">
        <v>343</v>
      </c>
      <c r="R39" s="151" t="s">
        <v>344</v>
      </c>
      <c r="S39" s="151" t="s">
        <v>346</v>
      </c>
      <c r="T39" s="151" t="s">
        <v>345</v>
      </c>
      <c r="U39" s="151" t="s">
        <v>131</v>
      </c>
      <c r="V39" s="151" t="s">
        <v>130</v>
      </c>
      <c r="W39" s="151" t="s">
        <v>129</v>
      </c>
      <c r="X39" s="154" t="s">
        <v>350</v>
      </c>
      <c r="Y39" s="155" t="s">
        <v>348</v>
      </c>
      <c r="Z39" s="120"/>
    </row>
    <row r="40" spans="1:26" ht="13.5">
      <c r="A40" s="118"/>
      <c r="B40" s="182"/>
      <c r="C40" s="183">
        <v>1</v>
      </c>
      <c r="D40" s="184"/>
      <c r="E40" s="183">
        <v>1</v>
      </c>
      <c r="F40" s="184"/>
      <c r="G40" s="183">
        <v>1</v>
      </c>
      <c r="H40" s="184"/>
      <c r="I40" s="185"/>
      <c r="J40" s="183">
        <v>1</v>
      </c>
      <c r="K40" s="184"/>
      <c r="L40" s="186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6"/>
      <c r="Y40" s="188"/>
      <c r="Z40" s="120"/>
    </row>
    <row r="41" spans="1:26" ht="13.5">
      <c r="A41" s="118"/>
      <c r="B41" s="189"/>
      <c r="C41" s="190">
        <v>1</v>
      </c>
      <c r="D41" s="191"/>
      <c r="E41" s="190">
        <v>1</v>
      </c>
      <c r="F41" s="191"/>
      <c r="G41" s="190">
        <v>1</v>
      </c>
      <c r="H41" s="191"/>
      <c r="I41" s="192"/>
      <c r="J41" s="190">
        <v>1</v>
      </c>
      <c r="K41" s="191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3"/>
      <c r="Z41" s="120"/>
    </row>
    <row r="42" spans="1:26" ht="13.5">
      <c r="A42" s="118"/>
      <c r="B42" s="189"/>
      <c r="C42" s="190">
        <v>1</v>
      </c>
      <c r="D42" s="191"/>
      <c r="E42" s="190">
        <v>1</v>
      </c>
      <c r="F42" s="191"/>
      <c r="G42" s="190">
        <v>1</v>
      </c>
      <c r="H42" s="191"/>
      <c r="I42" s="192"/>
      <c r="J42" s="190">
        <v>1</v>
      </c>
      <c r="K42" s="191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3"/>
      <c r="Z42" s="120"/>
    </row>
    <row r="43" spans="1:26" ht="14.25" thickBot="1">
      <c r="A43" s="118"/>
      <c r="B43" s="194"/>
      <c r="C43" s="195"/>
      <c r="D43" s="196"/>
      <c r="E43" s="195"/>
      <c r="F43" s="196"/>
      <c r="G43" s="195"/>
      <c r="H43" s="196"/>
      <c r="I43" s="197"/>
      <c r="J43" s="195"/>
      <c r="K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8"/>
      <c r="Z43" s="120"/>
    </row>
    <row r="44" spans="1:26" ht="11.25" customHeight="1" thickBo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</row>
    <row r="45" spans="1:26" ht="15">
      <c r="A45" s="118"/>
      <c r="B45" s="172" t="s">
        <v>358</v>
      </c>
      <c r="C45" s="115"/>
      <c r="D45" s="173" t="s">
        <v>7</v>
      </c>
      <c r="E45" s="174"/>
      <c r="F45" s="174"/>
      <c r="G45" s="173" t="s">
        <v>369</v>
      </c>
      <c r="H45" s="115"/>
      <c r="I45" s="174"/>
      <c r="J45" s="174"/>
      <c r="K45" s="173" t="s">
        <v>370</v>
      </c>
      <c r="L45" s="174"/>
      <c r="M45" s="174"/>
      <c r="N45" s="174"/>
      <c r="O45" s="173" t="s">
        <v>372</v>
      </c>
      <c r="P45" s="115"/>
      <c r="Q45" s="174"/>
      <c r="R45" s="174"/>
      <c r="S45" s="173" t="s">
        <v>373</v>
      </c>
      <c r="T45" s="174"/>
      <c r="U45" s="174"/>
      <c r="V45" s="174"/>
      <c r="W45" s="173" t="s">
        <v>371</v>
      </c>
      <c r="X45" s="174"/>
      <c r="Y45" s="116"/>
      <c r="Z45" s="120"/>
    </row>
    <row r="46" spans="1:26" ht="14.25" thickBot="1">
      <c r="A46" s="118"/>
      <c r="B46" s="137"/>
      <c r="C46" s="138"/>
      <c r="D46" s="175">
        <f>de</f>
        <v>12</v>
      </c>
      <c r="E46" s="138"/>
      <c r="F46" s="176" t="s">
        <v>375</v>
      </c>
      <c r="G46" s="460" t="s">
        <v>374</v>
      </c>
      <c r="H46" s="138"/>
      <c r="I46" s="138"/>
      <c r="J46" s="176" t="s">
        <v>375</v>
      </c>
      <c r="K46" s="460" t="s">
        <v>374</v>
      </c>
      <c r="L46" s="138"/>
      <c r="M46" s="138"/>
      <c r="N46" s="176" t="s">
        <v>375</v>
      </c>
      <c r="O46" s="460" t="s">
        <v>374</v>
      </c>
      <c r="P46" s="138"/>
      <c r="Q46" s="138"/>
      <c r="R46" s="176" t="s">
        <v>375</v>
      </c>
      <c r="S46" s="460" t="s">
        <v>374</v>
      </c>
      <c r="T46" s="138"/>
      <c r="U46" s="138"/>
      <c r="V46" s="177" t="s">
        <v>376</v>
      </c>
      <c r="W46" s="460" t="s">
        <v>374</v>
      </c>
      <c r="X46" s="138"/>
      <c r="Y46" s="139"/>
      <c r="Z46" s="120"/>
    </row>
    <row r="47" spans="1:26" ht="14.25" thickBo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9"/>
    </row>
  </sheetData>
  <sheetProtection password="A8B6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workbookViewId="0" topLeftCell="A1">
      <selection activeCell="S2" sqref="S2"/>
    </sheetView>
  </sheetViews>
  <sheetFormatPr defaultColWidth="11.421875" defaultRowHeight="12.75"/>
  <cols>
    <col min="1" max="1" width="2.7109375" style="125" customWidth="1"/>
    <col min="2" max="19" width="4.421875" style="125" customWidth="1"/>
    <col min="20" max="20" width="2.7109375" style="125" customWidth="1"/>
    <col min="21" max="25" width="4.57421875" style="125" customWidth="1"/>
    <col min="26" max="16384" width="11.421875" style="125" customWidth="1"/>
  </cols>
  <sheetData>
    <row r="1" spans="1:20" ht="12.75" customHeight="1" thickBo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20" ht="15.75">
      <c r="A2" s="126"/>
      <c r="B2" s="122" t="s">
        <v>140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4">
        <f>'Tirage initial'!B8</f>
        <v>0</v>
      </c>
      <c r="T2" s="127"/>
    </row>
    <row r="3" spans="1:20" ht="15.75">
      <c r="A3" s="126"/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127"/>
    </row>
    <row r="4" spans="1:20" ht="15.75">
      <c r="A4" s="126"/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8"/>
      <c r="T4" s="127"/>
    </row>
    <row r="5" spans="1:20" ht="15.75">
      <c r="A5" s="126"/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8"/>
      <c r="T5" s="127"/>
    </row>
    <row r="6" spans="1:20" ht="15.75">
      <c r="A6" s="126"/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8"/>
      <c r="T6" s="127"/>
    </row>
    <row r="7" spans="1:20" ht="15.75">
      <c r="A7" s="126"/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8"/>
      <c r="T7" s="127"/>
    </row>
    <row r="8" spans="1:20" ht="15.75">
      <c r="A8" s="126"/>
      <c r="B8" s="22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8"/>
      <c r="T8" s="127"/>
    </row>
    <row r="9" spans="1:20" ht="15.75">
      <c r="A9" s="126"/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8"/>
      <c r="T9" s="127"/>
    </row>
    <row r="10" spans="1:20" ht="15.75">
      <c r="A10" s="126"/>
      <c r="B10" s="226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8"/>
      <c r="T10" s="127"/>
    </row>
    <row r="11" spans="1:20" ht="15.75">
      <c r="A11" s="126"/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8"/>
      <c r="T11" s="127"/>
    </row>
    <row r="12" spans="1:20" ht="15.75">
      <c r="A12" s="126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8"/>
      <c r="T12" s="127"/>
    </row>
    <row r="13" spans="1:20" ht="15.75">
      <c r="A13" s="126"/>
      <c r="B13" s="226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8"/>
      <c r="T13" s="127"/>
    </row>
    <row r="14" spans="1:20" ht="15.75">
      <c r="A14" s="126"/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8"/>
      <c r="T14" s="127"/>
    </row>
    <row r="15" spans="1:20" ht="15.75">
      <c r="A15" s="126"/>
      <c r="B15" s="226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8"/>
      <c r="T15" s="127"/>
    </row>
    <row r="16" spans="1:20" ht="15.75">
      <c r="A16" s="126"/>
      <c r="B16" s="226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8"/>
      <c r="T16" s="127"/>
    </row>
    <row r="17" spans="1:20" ht="15.75">
      <c r="A17" s="126"/>
      <c r="B17" s="226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8"/>
      <c r="T17" s="127"/>
    </row>
    <row r="18" spans="1:20" ht="15.75">
      <c r="A18" s="126"/>
      <c r="B18" s="226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8"/>
      <c r="T18" s="127"/>
    </row>
    <row r="19" spans="1:20" ht="15.75">
      <c r="A19" s="126"/>
      <c r="B19" s="226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8"/>
      <c r="T19" s="127"/>
    </row>
    <row r="20" spans="1:20" ht="15.75">
      <c r="A20" s="126"/>
      <c r="B20" s="226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8"/>
      <c r="T20" s="127"/>
    </row>
    <row r="21" spans="1:20" ht="15.75">
      <c r="A21" s="126"/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8"/>
      <c r="T21" s="127"/>
    </row>
    <row r="22" spans="1:20" ht="15.75">
      <c r="A22" s="126"/>
      <c r="B22" s="226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8"/>
      <c r="T22" s="127"/>
    </row>
    <row r="23" spans="1:20" ht="15.75">
      <c r="A23" s="126"/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8"/>
      <c r="T23" s="127"/>
    </row>
    <row r="24" spans="1:20" ht="15.75">
      <c r="A24" s="126"/>
      <c r="B24" s="226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8"/>
      <c r="T24" s="127"/>
    </row>
    <row r="25" spans="1:20" ht="15.75">
      <c r="A25" s="126"/>
      <c r="B25" s="226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8"/>
      <c r="T25" s="127"/>
    </row>
    <row r="26" spans="1:20" ht="15.75">
      <c r="A26" s="126"/>
      <c r="B26" s="226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8"/>
      <c r="T26" s="127"/>
    </row>
    <row r="27" spans="1:20" ht="16.5" thickBot="1">
      <c r="A27" s="126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0"/>
      <c r="T27" s="127"/>
    </row>
    <row r="28" spans="1:20" ht="16.5" thickBot="1">
      <c r="A28" s="126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7"/>
    </row>
    <row r="29" spans="1:20" ht="15.75">
      <c r="A29" s="126"/>
      <c r="B29" s="122" t="s">
        <v>329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4"/>
      <c r="T29" s="127"/>
    </row>
    <row r="30" spans="1:20" ht="15.75">
      <c r="A30" s="126"/>
      <c r="B30" s="223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5"/>
      <c r="T30" s="127"/>
    </row>
    <row r="31" spans="1:20" ht="15.75">
      <c r="A31" s="126"/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  <c r="T31" s="127"/>
    </row>
    <row r="32" spans="1:20" ht="15.75">
      <c r="A32" s="126"/>
      <c r="B32" s="226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  <c r="T32" s="127"/>
    </row>
    <row r="33" spans="1:20" ht="15.75">
      <c r="A33" s="126"/>
      <c r="B33" s="226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8"/>
      <c r="T33" s="127"/>
    </row>
    <row r="34" spans="1:20" ht="15.75">
      <c r="A34" s="126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8"/>
      <c r="T34" s="127"/>
    </row>
    <row r="35" spans="1:20" ht="15.75">
      <c r="A35" s="126"/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  <c r="T35" s="127"/>
    </row>
    <row r="36" spans="1:20" ht="15.75">
      <c r="A36" s="126"/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8"/>
      <c r="T36" s="127"/>
    </row>
    <row r="37" spans="1:20" ht="15.75">
      <c r="A37" s="126"/>
      <c r="B37" s="226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8"/>
      <c r="T37" s="127"/>
    </row>
    <row r="38" spans="1:20" ht="15.75">
      <c r="A38" s="126"/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8"/>
      <c r="T38" s="127"/>
    </row>
    <row r="39" spans="1:20" ht="15.75">
      <c r="A39" s="126"/>
      <c r="B39" s="226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8"/>
      <c r="T39" s="127"/>
    </row>
    <row r="40" spans="1:20" ht="15.75">
      <c r="A40" s="126"/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8"/>
      <c r="T40" s="127"/>
    </row>
    <row r="41" spans="1:20" ht="15.75">
      <c r="A41" s="126"/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8"/>
      <c r="T41" s="127"/>
    </row>
    <row r="42" spans="1:20" s="121" customFormat="1" ht="16.5" thickBot="1">
      <c r="A42" s="126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30"/>
      <c r="T42" s="127"/>
    </row>
    <row r="43" spans="1:20" s="121" customFormat="1" ht="12.75" customHeight="1" thickBo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</row>
    <row r="44" s="121" customFormat="1" ht="15.75"/>
    <row r="45" s="121" customFormat="1" ht="15.75"/>
    <row r="46" s="121" customFormat="1" ht="15.75"/>
    <row r="47" s="121" customFormat="1" ht="15.75"/>
    <row r="48" s="121" customFormat="1" ht="15.75"/>
    <row r="49" s="121" customFormat="1" ht="15.75"/>
    <row r="50" s="121" customFormat="1" ht="15.75"/>
    <row r="51" s="121" customFormat="1" ht="15.75"/>
    <row r="52" s="121" customFormat="1" ht="15.75"/>
    <row r="53" s="121" customFormat="1" ht="15.75"/>
    <row r="54" s="121" customFormat="1" ht="15.75"/>
    <row r="55" s="121" customFormat="1" ht="15.75"/>
    <row r="56" s="121" customFormat="1" ht="15.75"/>
    <row r="57" s="121" customFormat="1" ht="15.75"/>
    <row r="58" s="121" customFormat="1" ht="15.75"/>
    <row r="59" s="121" customFormat="1" ht="15.75"/>
    <row r="60" s="121" customFormat="1" ht="15.75"/>
    <row r="61" s="121" customFormat="1" ht="15.75"/>
    <row r="62" s="121" customFormat="1" ht="15.75"/>
    <row r="63" s="121" customFormat="1" ht="15.75"/>
    <row r="64" s="121" customFormat="1" ht="15.75"/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  <row r="76" spans="1:21" ht="15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1:21" ht="15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</row>
    <row r="78" spans="1:21" ht="15.7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</row>
    <row r="79" spans="1:21" ht="15.7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</row>
    <row r="80" spans="1:21" ht="15.7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</row>
    <row r="81" spans="1:21" ht="15.7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</row>
    <row r="82" spans="1:21" ht="15.7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</row>
    <row r="83" spans="1:21" ht="15.7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</row>
    <row r="84" spans="1:21" ht="15.7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</row>
    <row r="85" spans="1:21" ht="15.7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</row>
    <row r="86" spans="1:21" ht="15.7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</row>
    <row r="87" spans="1:21" ht="15.7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</row>
    <row r="88" spans="1:21" ht="15.7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</row>
    <row r="89" spans="1:21" ht="8.25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</row>
    <row r="90" spans="1:21" ht="15.7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</row>
    <row r="91" spans="1:21" ht="15.7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</row>
    <row r="92" spans="1:21" ht="15.7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</row>
    <row r="93" spans="1:21" ht="15.7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</row>
    <row r="94" spans="1:21" ht="15.7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</row>
    <row r="95" spans="1:21" ht="15.7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</row>
    <row r="96" spans="1:21" ht="15.7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</row>
    <row r="97" spans="1:21" ht="15.7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  <row r="98" spans="1:21" ht="15.7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</row>
    <row r="99" spans="1:21" ht="15.7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</row>
    <row r="100" spans="1:21" ht="15.7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</row>
    <row r="101" spans="1:21" ht="15.7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</row>
    <row r="102" spans="1:21" ht="15.7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</row>
    <row r="103" spans="1:21" ht="15.7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</row>
    <row r="104" spans="1:21" ht="15.7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</row>
    <row r="105" spans="1:21" ht="15.7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</row>
    <row r="106" spans="1:21" ht="15.7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</row>
    <row r="107" spans="1:21" ht="15.7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</row>
    <row r="108" spans="1:21" ht="15.7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</row>
    <row r="109" spans="1:21" ht="15.7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</row>
    <row r="110" spans="1:21" ht="15.7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</row>
  </sheetData>
  <sheetProtection password="A8B6"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Footer>&amp;L&amp;A&amp;R&amp;P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41"/>
  <sheetViews>
    <sheetView workbookViewId="0" topLeftCell="A121">
      <selection activeCell="H137" sqref="H137:H189"/>
    </sheetView>
  </sheetViews>
  <sheetFormatPr defaultColWidth="11.421875" defaultRowHeight="12.75"/>
  <cols>
    <col min="1" max="1" width="13.00390625" style="7" customWidth="1"/>
    <col min="2" max="4" width="13.00390625" style="3" customWidth="1"/>
    <col min="5" max="8" width="11.421875" style="3" customWidth="1"/>
    <col min="9" max="9" width="11.421875" style="306" customWidth="1"/>
    <col min="10" max="16384" width="11.421875" style="3" customWidth="1"/>
  </cols>
  <sheetData>
    <row r="1" spans="1:13" ht="19.5" customHeight="1">
      <c r="A1" s="289" t="s">
        <v>319</v>
      </c>
      <c r="B1" s="290"/>
      <c r="C1" s="290"/>
      <c r="D1" s="290"/>
      <c r="E1" s="290"/>
      <c r="F1" s="290"/>
      <c r="G1" s="290"/>
      <c r="H1" s="290"/>
      <c r="I1" s="291"/>
      <c r="J1" s="290"/>
      <c r="K1" s="290"/>
      <c r="L1" s="290"/>
      <c r="M1" s="290"/>
    </row>
    <row r="2" spans="1:9" ht="12.75">
      <c r="A2" s="292" t="s">
        <v>212</v>
      </c>
      <c r="B2" s="293" t="s">
        <v>55</v>
      </c>
      <c r="C2" s="294" t="s">
        <v>213</v>
      </c>
      <c r="I2" s="295"/>
    </row>
    <row r="3" spans="1:11" ht="12.75">
      <c r="A3" s="296" t="s">
        <v>19</v>
      </c>
      <c r="B3" s="297">
        <v>40</v>
      </c>
      <c r="C3" s="298" t="s">
        <v>228</v>
      </c>
      <c r="D3" s="298"/>
      <c r="E3" s="298"/>
      <c r="F3" s="298"/>
      <c r="G3" s="298"/>
      <c r="H3" s="298"/>
      <c r="I3" s="298"/>
      <c r="J3" s="298"/>
      <c r="K3" s="9"/>
    </row>
    <row r="4" spans="1:11" ht="12.75">
      <c r="A4" s="299" t="s">
        <v>18</v>
      </c>
      <c r="B4" s="5">
        <v>40</v>
      </c>
      <c r="C4" s="231" t="s">
        <v>229</v>
      </c>
      <c r="D4" s="231"/>
      <c r="E4" s="231"/>
      <c r="F4" s="231"/>
      <c r="G4" s="231"/>
      <c r="H4" s="231"/>
      <c r="I4" s="295"/>
      <c r="J4" s="231"/>
      <c r="K4" s="300"/>
    </row>
    <row r="5" spans="1:11" ht="12.75">
      <c r="A5" s="299" t="s">
        <v>220</v>
      </c>
      <c r="B5" s="5">
        <v>35</v>
      </c>
      <c r="C5" s="231" t="s">
        <v>230</v>
      </c>
      <c r="D5" s="231"/>
      <c r="E5" s="231"/>
      <c r="F5" s="231"/>
      <c r="G5" s="231"/>
      <c r="H5" s="231"/>
      <c r="I5" s="295"/>
      <c r="J5" s="231"/>
      <c r="K5" s="300"/>
    </row>
    <row r="6" spans="1:11" ht="12.75">
      <c r="A6" s="299" t="s">
        <v>141</v>
      </c>
      <c r="B6" s="5">
        <v>35</v>
      </c>
      <c r="C6" s="231" t="s">
        <v>231</v>
      </c>
      <c r="D6" s="231"/>
      <c r="E6" s="231"/>
      <c r="F6" s="231"/>
      <c r="G6" s="231"/>
      <c r="H6" s="231"/>
      <c r="I6" s="231"/>
      <c r="J6" s="231"/>
      <c r="K6" s="300"/>
    </row>
    <row r="7" spans="1:11" ht="12.75">
      <c r="A7" s="299" t="s">
        <v>221</v>
      </c>
      <c r="B7" s="5">
        <v>35</v>
      </c>
      <c r="C7" s="231" t="s">
        <v>232</v>
      </c>
      <c r="D7" s="231"/>
      <c r="E7" s="231"/>
      <c r="F7" s="231"/>
      <c r="G7" s="231"/>
      <c r="H7" s="231"/>
      <c r="I7" s="231"/>
      <c r="J7" s="231"/>
      <c r="K7" s="300"/>
    </row>
    <row r="8" spans="1:11" ht="12.75">
      <c r="A8" s="301" t="s">
        <v>20</v>
      </c>
      <c r="B8" s="302">
        <v>35</v>
      </c>
      <c r="C8" s="303" t="s">
        <v>233</v>
      </c>
      <c r="D8" s="303"/>
      <c r="E8" s="303"/>
      <c r="F8" s="303"/>
      <c r="G8" s="303"/>
      <c r="H8" s="303"/>
      <c r="I8" s="304"/>
      <c r="J8" s="303"/>
      <c r="K8" s="305"/>
    </row>
    <row r="10" ht="25.5">
      <c r="A10" s="292" t="s">
        <v>211</v>
      </c>
    </row>
    <row r="11" spans="1:13" ht="12.75">
      <c r="A11" s="307"/>
      <c r="B11" s="231" t="s">
        <v>3</v>
      </c>
      <c r="C11" s="231"/>
      <c r="D11" s="231"/>
      <c r="E11" s="231"/>
      <c r="F11" s="231"/>
      <c r="G11" s="231"/>
      <c r="H11" s="231"/>
      <c r="I11" s="295"/>
      <c r="J11" s="231"/>
      <c r="K11" s="231"/>
      <c r="L11" s="231" t="s">
        <v>16</v>
      </c>
      <c r="M11" s="231"/>
    </row>
    <row r="12" spans="1:13" ht="12.75">
      <c r="A12" s="307"/>
      <c r="B12" s="231" t="s">
        <v>4</v>
      </c>
      <c r="C12" s="231"/>
      <c r="D12" s="231" t="s">
        <v>6</v>
      </c>
      <c r="E12" s="231"/>
      <c r="F12" s="231" t="s">
        <v>12</v>
      </c>
      <c r="G12" s="231"/>
      <c r="H12" s="231" t="s">
        <v>13</v>
      </c>
      <c r="I12" s="295"/>
      <c r="J12" s="231" t="s">
        <v>11</v>
      </c>
      <c r="K12" s="231"/>
      <c r="L12" s="231" t="s">
        <v>218</v>
      </c>
      <c r="M12" s="231"/>
    </row>
    <row r="13" spans="1:13" ht="12.75">
      <c r="A13" s="307"/>
      <c r="B13" s="231" t="s">
        <v>5</v>
      </c>
      <c r="C13" s="231"/>
      <c r="D13" s="231" t="s">
        <v>7</v>
      </c>
      <c r="E13" s="231"/>
      <c r="F13" s="231" t="s">
        <v>9</v>
      </c>
      <c r="G13" s="231"/>
      <c r="H13" s="231" t="s">
        <v>8</v>
      </c>
      <c r="I13" s="295"/>
      <c r="J13" s="231" t="s">
        <v>10</v>
      </c>
      <c r="K13" s="231"/>
      <c r="L13" s="231" t="s">
        <v>14</v>
      </c>
      <c r="M13" s="231"/>
    </row>
    <row r="14" spans="1:14" ht="12.75">
      <c r="A14" s="292" t="s">
        <v>56</v>
      </c>
      <c r="B14" s="294" t="s">
        <v>214</v>
      </c>
      <c r="C14" s="294" t="s">
        <v>56</v>
      </c>
      <c r="D14" s="294" t="s">
        <v>214</v>
      </c>
      <c r="E14" s="294" t="s">
        <v>56</v>
      </c>
      <c r="F14" s="294" t="s">
        <v>214</v>
      </c>
      <c r="G14" s="294" t="s">
        <v>56</v>
      </c>
      <c r="H14" s="294" t="s">
        <v>214</v>
      </c>
      <c r="J14" s="294" t="s">
        <v>214</v>
      </c>
      <c r="K14" s="294" t="s">
        <v>56</v>
      </c>
      <c r="L14" s="294" t="s">
        <v>214</v>
      </c>
      <c r="M14" s="294" t="s">
        <v>56</v>
      </c>
      <c r="N14" s="294"/>
    </row>
    <row r="15" spans="1:13" ht="12.75">
      <c r="A15" s="7">
        <v>1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06">
        <v>1</v>
      </c>
      <c r="J15" s="3">
        <v>1</v>
      </c>
      <c r="K15" s="3">
        <v>1</v>
      </c>
      <c r="L15" s="3">
        <v>1</v>
      </c>
      <c r="M15" s="3">
        <v>1</v>
      </c>
    </row>
    <row r="16" spans="1:13" ht="12.75">
      <c r="A16" s="7">
        <v>2</v>
      </c>
      <c r="B16" s="3">
        <v>2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6</v>
      </c>
      <c r="I16" s="306">
        <v>2</v>
      </c>
      <c r="J16" s="3">
        <v>2</v>
      </c>
      <c r="K16" s="3">
        <v>2</v>
      </c>
      <c r="L16" s="3">
        <v>2</v>
      </c>
      <c r="M16" s="3">
        <v>2</v>
      </c>
    </row>
    <row r="17" spans="1:13" ht="12.75">
      <c r="A17" s="7">
        <v>3</v>
      </c>
      <c r="B17" s="3">
        <v>4</v>
      </c>
      <c r="C17" s="3">
        <v>3</v>
      </c>
      <c r="D17" s="3">
        <v>4</v>
      </c>
      <c r="E17" s="3">
        <v>3</v>
      </c>
      <c r="F17" s="3">
        <v>4</v>
      </c>
      <c r="G17" s="3">
        <v>3</v>
      </c>
      <c r="H17" s="3">
        <v>11</v>
      </c>
      <c r="I17" s="306">
        <v>3</v>
      </c>
      <c r="J17" s="3">
        <v>4</v>
      </c>
      <c r="K17" s="3">
        <v>3</v>
      </c>
      <c r="L17" s="3">
        <v>4</v>
      </c>
      <c r="M17" s="3">
        <v>3</v>
      </c>
    </row>
    <row r="18" spans="1:13" ht="12.75">
      <c r="A18" s="7">
        <v>4</v>
      </c>
      <c r="B18" s="3">
        <v>6</v>
      </c>
      <c r="C18" s="3">
        <v>4</v>
      </c>
      <c r="D18" s="3">
        <v>6</v>
      </c>
      <c r="E18" s="3">
        <v>4</v>
      </c>
      <c r="F18" s="3">
        <v>6</v>
      </c>
      <c r="G18" s="3">
        <v>4</v>
      </c>
      <c r="H18" s="3">
        <v>16</v>
      </c>
      <c r="I18" s="306">
        <v>4</v>
      </c>
      <c r="J18" s="3">
        <v>7</v>
      </c>
      <c r="K18" s="3">
        <v>4</v>
      </c>
      <c r="L18" s="3">
        <v>7</v>
      </c>
      <c r="M18" s="3">
        <v>4</v>
      </c>
    </row>
    <row r="19" spans="1:13" ht="12.75">
      <c r="A19" s="7">
        <v>5</v>
      </c>
      <c r="B19" s="3">
        <v>8</v>
      </c>
      <c r="C19" s="3">
        <v>5</v>
      </c>
      <c r="D19" s="3">
        <v>8</v>
      </c>
      <c r="E19" s="3">
        <v>5</v>
      </c>
      <c r="F19" s="3">
        <v>10</v>
      </c>
      <c r="G19" s="3">
        <v>5</v>
      </c>
      <c r="H19" s="3">
        <v>21</v>
      </c>
      <c r="I19" s="306">
        <v>5</v>
      </c>
      <c r="J19" s="3">
        <v>9</v>
      </c>
      <c r="K19" s="3">
        <v>5</v>
      </c>
      <c r="L19" s="3">
        <v>10</v>
      </c>
      <c r="M19" s="3">
        <v>5</v>
      </c>
    </row>
    <row r="20" spans="1:13" ht="12.75">
      <c r="A20" s="7">
        <v>6</v>
      </c>
      <c r="B20" s="3">
        <v>10</v>
      </c>
      <c r="C20" s="3">
        <v>6</v>
      </c>
      <c r="D20" s="3">
        <v>10</v>
      </c>
      <c r="E20" s="3">
        <v>6</v>
      </c>
      <c r="F20" s="3">
        <v>12</v>
      </c>
      <c r="G20" s="3">
        <v>6</v>
      </c>
      <c r="H20" s="3">
        <v>26</v>
      </c>
      <c r="I20" s="306">
        <v>6</v>
      </c>
      <c r="J20" s="3">
        <v>11</v>
      </c>
      <c r="K20" s="3">
        <v>6</v>
      </c>
      <c r="L20" s="3">
        <v>12</v>
      </c>
      <c r="M20" s="3">
        <v>6</v>
      </c>
    </row>
    <row r="21" spans="1:13" ht="12.75">
      <c r="A21" s="7">
        <v>7</v>
      </c>
      <c r="B21" s="3">
        <v>12</v>
      </c>
      <c r="C21" s="3">
        <v>7</v>
      </c>
      <c r="D21" s="3">
        <v>12</v>
      </c>
      <c r="E21" s="3">
        <v>7</v>
      </c>
      <c r="F21" s="3">
        <v>16</v>
      </c>
      <c r="G21" s="3">
        <v>7</v>
      </c>
      <c r="H21" s="3">
        <v>31</v>
      </c>
      <c r="I21" s="306">
        <v>7</v>
      </c>
      <c r="J21" s="3">
        <v>13</v>
      </c>
      <c r="K21" s="3">
        <v>7</v>
      </c>
      <c r="L21" s="3">
        <v>16</v>
      </c>
      <c r="M21" s="3">
        <v>7</v>
      </c>
    </row>
    <row r="22" spans="1:13" ht="12.75">
      <c r="A22" s="7">
        <v>8</v>
      </c>
      <c r="B22" s="3">
        <v>14</v>
      </c>
      <c r="C22" s="3">
        <v>8</v>
      </c>
      <c r="D22" s="3">
        <v>14</v>
      </c>
      <c r="E22" s="3">
        <v>8</v>
      </c>
      <c r="F22" s="3">
        <v>20</v>
      </c>
      <c r="G22" s="3">
        <v>8</v>
      </c>
      <c r="H22" s="3">
        <v>36</v>
      </c>
      <c r="I22" s="306">
        <v>8</v>
      </c>
      <c r="J22" s="3">
        <v>16</v>
      </c>
      <c r="K22" s="3">
        <v>8</v>
      </c>
      <c r="L22" s="3">
        <v>21</v>
      </c>
      <c r="M22" s="3">
        <v>8</v>
      </c>
    </row>
    <row r="23" spans="1:13" ht="12.75">
      <c r="A23" s="7">
        <v>9</v>
      </c>
      <c r="B23" s="3">
        <v>16</v>
      </c>
      <c r="C23" s="3">
        <v>9</v>
      </c>
      <c r="D23" s="3">
        <v>16</v>
      </c>
      <c r="E23" s="3">
        <v>9</v>
      </c>
      <c r="F23" s="3">
        <v>26</v>
      </c>
      <c r="G23" s="3">
        <v>9</v>
      </c>
      <c r="H23" s="3">
        <v>41</v>
      </c>
      <c r="I23" s="306">
        <v>9</v>
      </c>
      <c r="J23" s="3">
        <v>19</v>
      </c>
      <c r="K23" s="3">
        <v>9</v>
      </c>
      <c r="L23" s="3">
        <v>26</v>
      </c>
      <c r="M23" s="3">
        <v>9</v>
      </c>
    </row>
    <row r="24" spans="1:13" ht="12.75">
      <c r="A24" s="7">
        <v>10</v>
      </c>
      <c r="B24" s="3">
        <v>21</v>
      </c>
      <c r="C24" s="3">
        <v>10</v>
      </c>
      <c r="D24" s="3">
        <v>21</v>
      </c>
      <c r="E24" s="3">
        <v>10</v>
      </c>
      <c r="F24" s="3">
        <v>31</v>
      </c>
      <c r="G24" s="3">
        <v>10</v>
      </c>
      <c r="H24" s="3">
        <v>51</v>
      </c>
      <c r="I24" s="306">
        <v>10</v>
      </c>
      <c r="J24" s="3">
        <v>22</v>
      </c>
      <c r="K24" s="3">
        <v>10</v>
      </c>
      <c r="L24" s="3">
        <v>36</v>
      </c>
      <c r="M24" s="3">
        <v>10</v>
      </c>
    </row>
    <row r="25" spans="1:13" ht="12.75">
      <c r="A25" s="7">
        <v>11</v>
      </c>
      <c r="B25" s="3">
        <v>26</v>
      </c>
      <c r="C25" s="3">
        <v>11</v>
      </c>
      <c r="D25" s="3">
        <v>28</v>
      </c>
      <c r="E25" s="3">
        <v>11</v>
      </c>
      <c r="F25" s="3">
        <v>36</v>
      </c>
      <c r="G25" s="3">
        <v>11</v>
      </c>
      <c r="H25" s="3">
        <v>61</v>
      </c>
      <c r="I25" s="306">
        <v>11</v>
      </c>
      <c r="J25" s="3">
        <v>25</v>
      </c>
      <c r="K25" s="3">
        <v>11</v>
      </c>
      <c r="L25" s="3">
        <v>41</v>
      </c>
      <c r="M25" s="3">
        <v>11</v>
      </c>
    </row>
    <row r="26" spans="1:13" ht="12.75">
      <c r="A26" s="7">
        <v>12</v>
      </c>
      <c r="B26" s="3">
        <v>36</v>
      </c>
      <c r="C26" s="3">
        <v>12</v>
      </c>
      <c r="D26" s="3">
        <v>41</v>
      </c>
      <c r="E26" s="3">
        <v>12</v>
      </c>
      <c r="F26" s="3">
        <v>51</v>
      </c>
      <c r="G26" s="3">
        <v>12</v>
      </c>
      <c r="H26" s="3">
        <v>76</v>
      </c>
      <c r="I26" s="306">
        <v>12</v>
      </c>
      <c r="J26" s="3">
        <v>31</v>
      </c>
      <c r="K26" s="3">
        <v>12</v>
      </c>
      <c r="L26" s="3">
        <v>51</v>
      </c>
      <c r="M26" s="3">
        <v>12</v>
      </c>
    </row>
    <row r="27" spans="1:13" ht="12.75">
      <c r="A27" s="7">
        <v>13</v>
      </c>
      <c r="B27" s="3">
        <v>46</v>
      </c>
      <c r="C27" s="3">
        <v>13</v>
      </c>
      <c r="D27" s="3">
        <v>55</v>
      </c>
      <c r="E27" s="3">
        <v>13</v>
      </c>
      <c r="F27" s="3">
        <v>66</v>
      </c>
      <c r="G27" s="3">
        <v>13</v>
      </c>
      <c r="H27" s="3">
        <v>81</v>
      </c>
      <c r="I27" s="306">
        <v>13</v>
      </c>
      <c r="J27" s="3">
        <v>41</v>
      </c>
      <c r="K27" s="3">
        <v>13</v>
      </c>
      <c r="L27" s="3">
        <v>61</v>
      </c>
      <c r="M27" s="3">
        <v>13</v>
      </c>
    </row>
    <row r="28" spans="1:13" ht="12.75">
      <c r="A28" s="7">
        <v>14</v>
      </c>
      <c r="B28" s="3">
        <v>61</v>
      </c>
      <c r="C28" s="3">
        <v>14</v>
      </c>
      <c r="D28" s="3">
        <v>66</v>
      </c>
      <c r="E28" s="3">
        <v>14</v>
      </c>
      <c r="F28" s="3">
        <v>76</v>
      </c>
      <c r="G28" s="3">
        <v>14</v>
      </c>
      <c r="H28" s="3">
        <v>86</v>
      </c>
      <c r="I28" s="306">
        <v>14</v>
      </c>
      <c r="J28" s="3">
        <v>55</v>
      </c>
      <c r="K28" s="3">
        <v>14</v>
      </c>
      <c r="L28" s="3">
        <v>71</v>
      </c>
      <c r="M28" s="3">
        <v>14</v>
      </c>
    </row>
    <row r="29" spans="1:13" ht="12.75">
      <c r="A29" s="7">
        <v>15</v>
      </c>
      <c r="B29" s="3">
        <v>76</v>
      </c>
      <c r="C29" s="3">
        <v>15</v>
      </c>
      <c r="D29" s="3">
        <v>81</v>
      </c>
      <c r="E29" s="3">
        <v>15</v>
      </c>
      <c r="F29" s="3">
        <v>81</v>
      </c>
      <c r="G29" s="3">
        <v>15</v>
      </c>
      <c r="H29" s="3">
        <v>91</v>
      </c>
      <c r="I29" s="306">
        <v>15</v>
      </c>
      <c r="J29" s="3">
        <v>71</v>
      </c>
      <c r="K29" s="3">
        <v>15</v>
      </c>
      <c r="L29" s="3">
        <v>76</v>
      </c>
      <c r="M29" s="3">
        <v>15</v>
      </c>
    </row>
    <row r="30" spans="1:13" ht="12.75">
      <c r="A30" s="7">
        <v>16</v>
      </c>
      <c r="B30" s="3">
        <v>86</v>
      </c>
      <c r="C30" s="3">
        <v>16</v>
      </c>
      <c r="D30" s="3">
        <v>91</v>
      </c>
      <c r="E30" s="3">
        <v>16</v>
      </c>
      <c r="F30" s="3">
        <v>86</v>
      </c>
      <c r="G30" s="3">
        <v>16</v>
      </c>
      <c r="H30" s="3">
        <v>96</v>
      </c>
      <c r="I30" s="306">
        <v>16</v>
      </c>
      <c r="J30" s="3">
        <v>81</v>
      </c>
      <c r="K30" s="3">
        <v>16</v>
      </c>
      <c r="L30" s="3">
        <v>81</v>
      </c>
      <c r="M30" s="3">
        <v>16</v>
      </c>
    </row>
    <row r="31" spans="1:13" ht="12.75">
      <c r="A31" s="7">
        <v>17</v>
      </c>
      <c r="B31" s="3">
        <v>91</v>
      </c>
      <c r="C31" s="3">
        <v>17</v>
      </c>
      <c r="D31" s="3">
        <v>96</v>
      </c>
      <c r="E31" s="3">
        <v>17</v>
      </c>
      <c r="F31" s="3">
        <v>91</v>
      </c>
      <c r="G31" s="3">
        <v>17</v>
      </c>
      <c r="H31" s="3">
        <v>105</v>
      </c>
      <c r="I31" s="306">
        <v>17</v>
      </c>
      <c r="J31" s="3">
        <v>86</v>
      </c>
      <c r="K31" s="3">
        <v>17</v>
      </c>
      <c r="L31" s="3">
        <v>86</v>
      </c>
      <c r="M31" s="3">
        <v>17</v>
      </c>
    </row>
    <row r="32" spans="1:13" ht="12.75">
      <c r="A32" s="7">
        <v>18</v>
      </c>
      <c r="B32" s="3">
        <v>96</v>
      </c>
      <c r="C32" s="3">
        <v>18</v>
      </c>
      <c r="D32" s="3">
        <v>99</v>
      </c>
      <c r="E32" s="3">
        <v>18</v>
      </c>
      <c r="F32" s="3">
        <v>96</v>
      </c>
      <c r="G32" s="3">
        <v>18</v>
      </c>
      <c r="H32" s="3">
        <v>110</v>
      </c>
      <c r="I32" s="306">
        <v>18</v>
      </c>
      <c r="J32" s="3">
        <v>91</v>
      </c>
      <c r="K32" s="3">
        <v>18</v>
      </c>
      <c r="L32" s="3">
        <v>81</v>
      </c>
      <c r="M32" s="3">
        <v>18</v>
      </c>
    </row>
    <row r="33" spans="1:13" ht="12.75">
      <c r="A33" s="7">
        <v>19</v>
      </c>
      <c r="B33" s="3">
        <v>105</v>
      </c>
      <c r="C33" s="3">
        <v>19</v>
      </c>
      <c r="D33" s="3">
        <v>105</v>
      </c>
      <c r="E33" s="3">
        <v>19</v>
      </c>
      <c r="F33" s="3">
        <v>105</v>
      </c>
      <c r="G33" s="3">
        <v>19</v>
      </c>
      <c r="H33" s="3">
        <v>115</v>
      </c>
      <c r="I33" s="306">
        <v>19</v>
      </c>
      <c r="J33" s="3">
        <v>96</v>
      </c>
      <c r="K33" s="3">
        <v>19</v>
      </c>
      <c r="L33" s="3">
        <v>96</v>
      </c>
      <c r="M33" s="3">
        <v>19</v>
      </c>
    </row>
    <row r="35" ht="29.25" customHeight="1">
      <c r="A35" s="292" t="s">
        <v>161</v>
      </c>
    </row>
    <row r="36" spans="1:9" s="309" customFormat="1" ht="13.5">
      <c r="A36" s="308" t="s">
        <v>214</v>
      </c>
      <c r="B36" s="309" t="s">
        <v>43</v>
      </c>
      <c r="C36" s="309" t="s">
        <v>3</v>
      </c>
      <c r="D36" s="309" t="s">
        <v>234</v>
      </c>
      <c r="E36" s="309" t="s">
        <v>4</v>
      </c>
      <c r="F36" s="309" t="s">
        <v>57</v>
      </c>
      <c r="G36" s="309" t="s">
        <v>215</v>
      </c>
      <c r="H36" s="310" t="s">
        <v>238</v>
      </c>
      <c r="I36" s="309" t="s">
        <v>216</v>
      </c>
    </row>
    <row r="37" spans="1:9" s="4" customFormat="1" ht="12.75">
      <c r="A37" s="311">
        <v>1</v>
      </c>
      <c r="B37" s="312" t="s">
        <v>235</v>
      </c>
      <c r="C37" s="313">
        <v>3</v>
      </c>
      <c r="D37" s="314">
        <v>0.9</v>
      </c>
      <c r="E37" s="312">
        <v>0</v>
      </c>
      <c r="F37" s="312">
        <v>0</v>
      </c>
      <c r="G37" s="312">
        <v>0</v>
      </c>
      <c r="H37" s="312">
        <v>12</v>
      </c>
      <c r="I37" s="312">
        <v>0</v>
      </c>
    </row>
    <row r="38" spans="1:9" s="4" customFormat="1" ht="12.75">
      <c r="A38" s="311">
        <v>2</v>
      </c>
      <c r="B38" s="315" t="s">
        <v>222</v>
      </c>
      <c r="C38" s="313">
        <v>3</v>
      </c>
      <c r="D38" s="314">
        <v>0.9</v>
      </c>
      <c r="E38" s="312">
        <v>0</v>
      </c>
      <c r="F38" s="312">
        <v>0</v>
      </c>
      <c r="G38" s="312">
        <v>0</v>
      </c>
      <c r="H38" s="312">
        <v>11</v>
      </c>
      <c r="I38" s="312">
        <v>0</v>
      </c>
    </row>
    <row r="39" spans="1:9" s="4" customFormat="1" ht="12.75">
      <c r="A39" s="311">
        <v>4</v>
      </c>
      <c r="B39" s="315" t="s">
        <v>223</v>
      </c>
      <c r="C39" s="313">
        <v>2</v>
      </c>
      <c r="D39" s="314">
        <v>0.95</v>
      </c>
      <c r="E39" s="312">
        <v>0</v>
      </c>
      <c r="F39" s="312">
        <v>0</v>
      </c>
      <c r="G39" s="312">
        <v>0</v>
      </c>
      <c r="H39" s="312">
        <v>10</v>
      </c>
      <c r="I39" s="312">
        <v>0</v>
      </c>
    </row>
    <row r="40" spans="1:17" s="4" customFormat="1" ht="12.75">
      <c r="A40" s="311">
        <v>10</v>
      </c>
      <c r="B40" s="315" t="s">
        <v>224</v>
      </c>
      <c r="C40" s="313">
        <v>0</v>
      </c>
      <c r="D40" s="314">
        <v>1</v>
      </c>
      <c r="E40" s="312">
        <v>0.5</v>
      </c>
      <c r="F40" s="312">
        <v>0.5</v>
      </c>
      <c r="G40" s="312">
        <v>0</v>
      </c>
      <c r="H40" s="312">
        <v>0</v>
      </c>
      <c r="I40" s="312">
        <v>0</v>
      </c>
      <c r="J40" s="293"/>
      <c r="K40" s="293"/>
      <c r="L40" s="293"/>
      <c r="M40" s="293"/>
      <c r="N40" s="293"/>
      <c r="O40" s="293"/>
      <c r="P40" s="293"/>
      <c r="Q40" s="293"/>
    </row>
    <row r="41" spans="1:9" s="4" customFormat="1" ht="12.75">
      <c r="A41" s="311">
        <v>17</v>
      </c>
      <c r="B41" s="315" t="s">
        <v>225</v>
      </c>
      <c r="C41" s="313">
        <v>-2</v>
      </c>
      <c r="D41" s="314">
        <v>1.1</v>
      </c>
      <c r="E41" s="312">
        <v>1</v>
      </c>
      <c r="F41" s="312">
        <v>0.5</v>
      </c>
      <c r="G41" s="312">
        <v>0</v>
      </c>
      <c r="H41" s="312">
        <v>0</v>
      </c>
      <c r="I41" s="312">
        <v>10</v>
      </c>
    </row>
    <row r="42" spans="1:9" s="4" customFormat="1" ht="12.75">
      <c r="A42" s="311">
        <v>19</v>
      </c>
      <c r="B42" s="315" t="s">
        <v>226</v>
      </c>
      <c r="C42" s="313">
        <v>-3</v>
      </c>
      <c r="D42" s="314">
        <v>1.15</v>
      </c>
      <c r="E42" s="312">
        <v>1</v>
      </c>
      <c r="F42" s="312">
        <v>0.5</v>
      </c>
      <c r="G42" s="312">
        <v>0.5</v>
      </c>
      <c r="H42" s="312">
        <v>0</v>
      </c>
      <c r="I42" s="312">
        <v>11</v>
      </c>
    </row>
    <row r="43" spans="1:9" s="4" customFormat="1" ht="12.75">
      <c r="A43" s="311">
        <v>20</v>
      </c>
      <c r="B43" s="315" t="s">
        <v>227</v>
      </c>
      <c r="C43" s="313">
        <v>-4</v>
      </c>
      <c r="D43" s="314">
        <v>1.2</v>
      </c>
      <c r="E43" s="312">
        <v>1</v>
      </c>
      <c r="F43" s="312">
        <v>1</v>
      </c>
      <c r="G43" s="312">
        <v>0.5</v>
      </c>
      <c r="H43" s="312">
        <v>0</v>
      </c>
      <c r="I43" s="312">
        <v>13</v>
      </c>
    </row>
    <row r="45" ht="13.5" thickBot="1"/>
    <row r="46" spans="1:4" ht="25.5">
      <c r="A46" s="316" t="s">
        <v>142</v>
      </c>
      <c r="B46" s="317" t="s">
        <v>160</v>
      </c>
      <c r="C46" s="318"/>
      <c r="D46" s="319"/>
    </row>
    <row r="47" spans="1:4" ht="12.75">
      <c r="A47" s="320">
        <v>1</v>
      </c>
      <c r="B47" s="303" t="s">
        <v>143</v>
      </c>
      <c r="C47" s="303"/>
      <c r="D47" s="321"/>
    </row>
    <row r="48" spans="1:4" ht="12.75">
      <c r="A48" s="320">
        <v>2</v>
      </c>
      <c r="B48" s="11" t="s">
        <v>144</v>
      </c>
      <c r="C48" s="11"/>
      <c r="D48" s="322"/>
    </row>
    <row r="49" spans="1:4" ht="12.75">
      <c r="A49" s="320">
        <v>4</v>
      </c>
      <c r="B49" s="11" t="s">
        <v>145</v>
      </c>
      <c r="C49" s="11"/>
      <c r="D49" s="322"/>
    </row>
    <row r="50" spans="1:4" ht="12.75">
      <c r="A50" s="320">
        <v>6</v>
      </c>
      <c r="B50" s="11" t="s">
        <v>146</v>
      </c>
      <c r="C50" s="11"/>
      <c r="D50" s="322"/>
    </row>
    <row r="51" spans="1:4" ht="12.75">
      <c r="A51" s="320">
        <v>14</v>
      </c>
      <c r="B51" s="11" t="s">
        <v>147</v>
      </c>
      <c r="C51" s="11"/>
      <c r="D51" s="322"/>
    </row>
    <row r="52" spans="1:4" ht="12.75">
      <c r="A52" s="320">
        <v>16</v>
      </c>
      <c r="B52" s="11" t="s">
        <v>149</v>
      </c>
      <c r="C52" s="11"/>
      <c r="D52" s="322"/>
    </row>
    <row r="53" spans="1:4" ht="12.75">
      <c r="A53" s="320">
        <v>18</v>
      </c>
      <c r="B53" s="11" t="s">
        <v>150</v>
      </c>
      <c r="C53" s="11"/>
      <c r="D53" s="322"/>
    </row>
    <row r="54" spans="1:4" ht="12.75">
      <c r="A54" s="320">
        <v>19</v>
      </c>
      <c r="B54" s="11" t="s">
        <v>148</v>
      </c>
      <c r="C54" s="11"/>
      <c r="D54" s="322"/>
    </row>
    <row r="55" spans="1:4" ht="13.5" thickBot="1">
      <c r="A55" s="323">
        <v>20</v>
      </c>
      <c r="B55" s="324" t="s">
        <v>151</v>
      </c>
      <c r="C55" s="324"/>
      <c r="D55" s="325"/>
    </row>
    <row r="57" ht="13.5" thickBot="1">
      <c r="B57" s="4"/>
    </row>
    <row r="58" spans="1:8" ht="12.75" customHeight="1">
      <c r="A58" s="316" t="s">
        <v>162</v>
      </c>
      <c r="B58" s="326" t="s">
        <v>160</v>
      </c>
      <c r="C58" s="327" t="s">
        <v>45</v>
      </c>
      <c r="D58" s="328" t="s">
        <v>5</v>
      </c>
      <c r="E58" s="328" t="s">
        <v>58</v>
      </c>
      <c r="F58" s="328" t="s">
        <v>8</v>
      </c>
      <c r="G58" s="328" t="s">
        <v>9</v>
      </c>
      <c r="H58" s="329" t="s">
        <v>237</v>
      </c>
    </row>
    <row r="59" spans="1:8" ht="12.75">
      <c r="A59" s="320">
        <v>1</v>
      </c>
      <c r="B59" s="1">
        <v>1</v>
      </c>
      <c r="C59" s="10" t="s">
        <v>59</v>
      </c>
      <c r="D59" s="330">
        <v>0</v>
      </c>
      <c r="E59" s="1">
        <v>0</v>
      </c>
      <c r="F59" s="1">
        <v>0</v>
      </c>
      <c r="G59" s="1">
        <v>0</v>
      </c>
      <c r="H59" s="331">
        <v>0</v>
      </c>
    </row>
    <row r="60" spans="1:8" ht="12.75">
      <c r="A60" s="320">
        <v>16</v>
      </c>
      <c r="B60" s="1">
        <v>1</v>
      </c>
      <c r="C60" s="10" t="s">
        <v>60</v>
      </c>
      <c r="D60" s="330">
        <v>0</v>
      </c>
      <c r="E60" s="1">
        <v>0</v>
      </c>
      <c r="F60" s="1">
        <v>0</v>
      </c>
      <c r="G60" s="1">
        <v>0</v>
      </c>
      <c r="H60" s="331">
        <v>0</v>
      </c>
    </row>
    <row r="61" spans="1:8" ht="12.75">
      <c r="A61" s="320">
        <v>26</v>
      </c>
      <c r="B61" s="1">
        <v>1</v>
      </c>
      <c r="C61" s="10" t="s">
        <v>192</v>
      </c>
      <c r="D61" s="330">
        <v>0</v>
      </c>
      <c r="E61" s="1">
        <v>0.5</v>
      </c>
      <c r="F61" s="1">
        <v>0</v>
      </c>
      <c r="G61" s="1">
        <v>0</v>
      </c>
      <c r="H61" s="331">
        <v>0</v>
      </c>
    </row>
    <row r="62" spans="1:8" ht="12.75">
      <c r="A62" s="320">
        <v>35</v>
      </c>
      <c r="B62" s="1">
        <v>1</v>
      </c>
      <c r="C62" s="10" t="s">
        <v>193</v>
      </c>
      <c r="D62" s="330">
        <v>0</v>
      </c>
      <c r="E62" s="1">
        <v>0.3</v>
      </c>
      <c r="F62" s="1">
        <v>0</v>
      </c>
      <c r="G62" s="1">
        <v>0</v>
      </c>
      <c r="H62" s="331">
        <v>0</v>
      </c>
    </row>
    <row r="63" spans="1:8" ht="12.75">
      <c r="A63" s="320">
        <v>40</v>
      </c>
      <c r="B63" s="1">
        <v>1</v>
      </c>
      <c r="C63" s="10" t="s">
        <v>194</v>
      </c>
      <c r="D63" s="330">
        <v>0</v>
      </c>
      <c r="E63" s="1">
        <v>0.3</v>
      </c>
      <c r="F63" s="1">
        <v>0</v>
      </c>
      <c r="G63" s="1">
        <v>0</v>
      </c>
      <c r="H63" s="331">
        <v>0</v>
      </c>
    </row>
    <row r="64" spans="1:8" ht="12.75">
      <c r="A64" s="320">
        <v>50</v>
      </c>
      <c r="B64" s="1">
        <v>1</v>
      </c>
      <c r="C64" s="10" t="s">
        <v>61</v>
      </c>
      <c r="D64" s="330">
        <v>0</v>
      </c>
      <c r="E64" s="1">
        <v>0.3</v>
      </c>
      <c r="F64" s="1">
        <v>0</v>
      </c>
      <c r="G64" s="1">
        <v>0</v>
      </c>
      <c r="H64" s="331">
        <v>0</v>
      </c>
    </row>
    <row r="65" spans="1:8" ht="12.75">
      <c r="A65" s="320">
        <v>57</v>
      </c>
      <c r="B65" s="1">
        <v>1</v>
      </c>
      <c r="C65" s="10" t="s">
        <v>62</v>
      </c>
      <c r="D65" s="330">
        <v>0</v>
      </c>
      <c r="E65" s="1">
        <v>0</v>
      </c>
      <c r="F65" s="1">
        <v>0</v>
      </c>
      <c r="G65" s="1">
        <v>0</v>
      </c>
      <c r="H65" s="331">
        <v>0</v>
      </c>
    </row>
    <row r="66" spans="1:8" ht="12.75">
      <c r="A66" s="320">
        <v>65</v>
      </c>
      <c r="B66" s="1">
        <v>2</v>
      </c>
      <c r="C66" s="10" t="s">
        <v>195</v>
      </c>
      <c r="D66" s="330">
        <v>0</v>
      </c>
      <c r="E66" s="1">
        <v>0</v>
      </c>
      <c r="F66" s="1">
        <v>0</v>
      </c>
      <c r="G66" s="1">
        <v>0</v>
      </c>
      <c r="H66" s="331">
        <v>0</v>
      </c>
    </row>
    <row r="67" spans="1:8" ht="12.75">
      <c r="A67" s="320">
        <v>76</v>
      </c>
      <c r="B67" s="1">
        <v>3</v>
      </c>
      <c r="C67" s="10" t="s">
        <v>196</v>
      </c>
      <c r="D67" s="330">
        <v>0</v>
      </c>
      <c r="E67" s="1">
        <v>0.75</v>
      </c>
      <c r="F67" s="1">
        <v>0</v>
      </c>
      <c r="G67" s="1">
        <v>0</v>
      </c>
      <c r="H67" s="331">
        <v>11</v>
      </c>
    </row>
    <row r="68" spans="1:8" ht="12.75">
      <c r="A68" s="320">
        <v>78</v>
      </c>
      <c r="B68" s="1">
        <v>4</v>
      </c>
      <c r="C68" s="10" t="s">
        <v>63</v>
      </c>
      <c r="D68" s="330">
        <v>1</v>
      </c>
      <c r="E68" s="1">
        <v>0</v>
      </c>
      <c r="F68" s="1">
        <v>0</v>
      </c>
      <c r="G68" s="1">
        <v>0</v>
      </c>
      <c r="H68" s="331">
        <v>0</v>
      </c>
    </row>
    <row r="69" spans="1:8" ht="12.75">
      <c r="A69" s="320">
        <v>85</v>
      </c>
      <c r="B69" s="1">
        <v>5</v>
      </c>
      <c r="C69" s="10" t="s">
        <v>64</v>
      </c>
      <c r="D69" s="330">
        <v>0</v>
      </c>
      <c r="E69" s="1">
        <v>0.65</v>
      </c>
      <c r="F69" s="1">
        <v>0</v>
      </c>
      <c r="G69" s="1">
        <v>0</v>
      </c>
      <c r="H69" s="331">
        <v>0</v>
      </c>
    </row>
    <row r="70" spans="1:8" ht="12.75">
      <c r="A70" s="320">
        <v>89</v>
      </c>
      <c r="B70" s="1">
        <v>6</v>
      </c>
      <c r="C70" s="10" t="s">
        <v>65</v>
      </c>
      <c r="D70" s="330">
        <v>1</v>
      </c>
      <c r="E70" s="1">
        <v>0.5</v>
      </c>
      <c r="F70" s="1">
        <v>0</v>
      </c>
      <c r="G70" s="1">
        <v>0</v>
      </c>
      <c r="H70" s="331">
        <v>13</v>
      </c>
    </row>
    <row r="71" spans="1:8" ht="12.75">
      <c r="A71" s="320">
        <v>91</v>
      </c>
      <c r="B71" s="1">
        <v>7</v>
      </c>
      <c r="C71" s="10" t="s">
        <v>66</v>
      </c>
      <c r="D71" s="330">
        <v>1</v>
      </c>
      <c r="E71" s="1">
        <v>0</v>
      </c>
      <c r="F71" s="1">
        <v>0</v>
      </c>
      <c r="G71" s="1">
        <v>0</v>
      </c>
      <c r="H71" s="331">
        <v>13</v>
      </c>
    </row>
    <row r="72" spans="1:8" ht="12.75">
      <c r="A72" s="320">
        <v>93</v>
      </c>
      <c r="B72" s="1">
        <v>8</v>
      </c>
      <c r="C72" s="10" t="s">
        <v>67</v>
      </c>
      <c r="D72" s="330">
        <v>0</v>
      </c>
      <c r="E72" s="1">
        <v>0</v>
      </c>
      <c r="F72" s="1">
        <v>0</v>
      </c>
      <c r="G72" s="1">
        <v>0</v>
      </c>
      <c r="H72" s="331">
        <v>13</v>
      </c>
    </row>
    <row r="73" spans="1:8" ht="12.75">
      <c r="A73" s="320">
        <v>96</v>
      </c>
      <c r="B73" s="1">
        <v>9</v>
      </c>
      <c r="C73" s="10" t="s">
        <v>68</v>
      </c>
      <c r="D73" s="330">
        <v>1</v>
      </c>
      <c r="E73" s="1">
        <v>0.75</v>
      </c>
      <c r="F73" s="1">
        <v>0</v>
      </c>
      <c r="G73" s="1">
        <v>0</v>
      </c>
      <c r="H73" s="331">
        <v>14</v>
      </c>
    </row>
    <row r="74" spans="1:8" ht="12.75">
      <c r="A74" s="320">
        <v>97</v>
      </c>
      <c r="B74" s="1">
        <v>10</v>
      </c>
      <c r="C74" s="10" t="s">
        <v>69</v>
      </c>
      <c r="D74" s="330">
        <v>2</v>
      </c>
      <c r="E74" s="1">
        <v>0</v>
      </c>
      <c r="F74" s="1">
        <v>1</v>
      </c>
      <c r="G74" s="1">
        <v>0.5</v>
      </c>
      <c r="H74" s="331">
        <v>14</v>
      </c>
    </row>
    <row r="75" spans="1:8" ht="12.75">
      <c r="A75" s="320">
        <v>98</v>
      </c>
      <c r="B75" s="1">
        <v>13</v>
      </c>
      <c r="C75" s="10" t="s">
        <v>70</v>
      </c>
      <c r="D75" s="330">
        <v>0</v>
      </c>
      <c r="E75" s="1">
        <v>0</v>
      </c>
      <c r="F75" s="1">
        <v>0</v>
      </c>
      <c r="G75" s="1">
        <v>0</v>
      </c>
      <c r="H75" s="331">
        <v>13</v>
      </c>
    </row>
    <row r="76" spans="1:8" ht="13.5" thickBot="1">
      <c r="A76" s="323">
        <v>99</v>
      </c>
      <c r="B76" s="332">
        <v>14</v>
      </c>
      <c r="C76" s="333" t="s">
        <v>71</v>
      </c>
      <c r="D76" s="334">
        <v>1</v>
      </c>
      <c r="E76" s="332">
        <v>0.5</v>
      </c>
      <c r="F76" s="332">
        <v>0</v>
      </c>
      <c r="G76" s="332">
        <v>0</v>
      </c>
      <c r="H76" s="335">
        <v>13</v>
      </c>
    </row>
    <row r="77" ht="12.75">
      <c r="D77" s="336"/>
    </row>
    <row r="78" spans="1:4" ht="12.75">
      <c r="A78" s="337" t="s">
        <v>236</v>
      </c>
      <c r="B78" s="338"/>
      <c r="C78" s="338"/>
      <c r="D78" s="339"/>
    </row>
    <row r="79" spans="1:4" ht="12.75">
      <c r="A79" s="7" t="s">
        <v>73</v>
      </c>
      <c r="B79" s="4" t="s">
        <v>74</v>
      </c>
      <c r="C79" s="4" t="s">
        <v>197</v>
      </c>
      <c r="D79" s="340"/>
    </row>
    <row r="80" spans="1:4" ht="12.75">
      <c r="A80" s="8" t="s">
        <v>159</v>
      </c>
      <c r="B80" s="4">
        <v>9</v>
      </c>
      <c r="C80" s="4">
        <v>100</v>
      </c>
      <c r="D80" s="340"/>
    </row>
    <row r="81" spans="1:4" ht="12.75">
      <c r="A81" s="8" t="s">
        <v>157</v>
      </c>
      <c r="B81" s="4">
        <v>6</v>
      </c>
      <c r="C81" s="4">
        <v>100</v>
      </c>
      <c r="D81" s="340"/>
    </row>
    <row r="82" spans="1:4" ht="12.75">
      <c r="A82" s="8" t="s">
        <v>158</v>
      </c>
      <c r="B82" s="4">
        <v>7</v>
      </c>
      <c r="C82" s="4">
        <v>125</v>
      </c>
      <c r="D82" s="340"/>
    </row>
    <row r="83" spans="1:4" ht="12.75">
      <c r="A83" s="8" t="s">
        <v>152</v>
      </c>
      <c r="B83" s="4">
        <v>2</v>
      </c>
      <c r="C83" s="4">
        <v>100</v>
      </c>
      <c r="D83" s="340">
        <v>125</v>
      </c>
    </row>
    <row r="84" spans="1:4" ht="12.75">
      <c r="A84" s="8" t="s">
        <v>153</v>
      </c>
      <c r="B84" s="4">
        <v>3</v>
      </c>
      <c r="C84" s="4">
        <v>100</v>
      </c>
      <c r="D84" s="340">
        <v>125</v>
      </c>
    </row>
    <row r="85" spans="1:4" ht="12.75">
      <c r="A85" s="8" t="s">
        <v>199</v>
      </c>
      <c r="B85" s="4">
        <v>5</v>
      </c>
      <c r="C85" s="4">
        <v>100</v>
      </c>
      <c r="D85" s="340"/>
    </row>
    <row r="86" spans="1:4" ht="12.75">
      <c r="A86" s="8" t="s">
        <v>154</v>
      </c>
      <c r="B86" s="4">
        <v>10</v>
      </c>
      <c r="C86" s="4">
        <v>100</v>
      </c>
      <c r="D86" s="340"/>
    </row>
    <row r="87" spans="1:4" ht="12.75">
      <c r="A87" s="8" t="s">
        <v>155</v>
      </c>
      <c r="B87" s="4">
        <v>4</v>
      </c>
      <c r="C87" s="4">
        <v>200</v>
      </c>
      <c r="D87" s="340">
        <v>250</v>
      </c>
    </row>
    <row r="88" spans="1:4" ht="12.75">
      <c r="A88" s="8" t="s">
        <v>156</v>
      </c>
      <c r="B88" s="4">
        <v>8</v>
      </c>
      <c r="C88" s="4">
        <v>125</v>
      </c>
      <c r="D88" s="340">
        <v>150</v>
      </c>
    </row>
    <row r="89" spans="1:4" ht="12.75">
      <c r="A89" s="8"/>
      <c r="B89" s="4"/>
      <c r="C89" s="4"/>
      <c r="D89" s="340"/>
    </row>
    <row r="90" ht="13.5" thickBot="1">
      <c r="A90" s="3"/>
    </row>
    <row r="91" spans="1:20" ht="13.5" thickBot="1">
      <c r="A91" s="316" t="s">
        <v>189</v>
      </c>
      <c r="B91" s="328"/>
      <c r="C91" s="328"/>
      <c r="D91" s="327"/>
      <c r="E91" s="327"/>
      <c r="F91" s="327"/>
      <c r="G91" s="327"/>
      <c r="H91" s="327"/>
      <c r="I91" s="341"/>
      <c r="J91" s="342"/>
      <c r="K91" s="343" t="s">
        <v>190</v>
      </c>
      <c r="L91" s="229"/>
      <c r="M91" s="229"/>
      <c r="N91" s="229"/>
      <c r="O91" s="229"/>
      <c r="P91" s="229"/>
      <c r="Q91" s="229"/>
      <c r="R91" s="229"/>
      <c r="S91" s="229"/>
      <c r="T91" s="230"/>
    </row>
    <row r="92" spans="1:20" s="4" customFormat="1" ht="12.75">
      <c r="A92" s="320" t="s">
        <v>3</v>
      </c>
      <c r="B92" s="1" t="s">
        <v>152</v>
      </c>
      <c r="C92" s="1" t="s">
        <v>153</v>
      </c>
      <c r="D92" s="1" t="s">
        <v>155</v>
      </c>
      <c r="E92" s="1" t="s">
        <v>199</v>
      </c>
      <c r="F92" s="1" t="s">
        <v>157</v>
      </c>
      <c r="G92" s="1" t="s">
        <v>75</v>
      </c>
      <c r="H92" s="1" t="s">
        <v>156</v>
      </c>
      <c r="I92" s="1" t="s">
        <v>159</v>
      </c>
      <c r="J92" s="2" t="s">
        <v>154</v>
      </c>
      <c r="K92" s="344" t="str">
        <f>+A92</f>
        <v>Physique</v>
      </c>
      <c r="L92" s="328" t="s">
        <v>152</v>
      </c>
      <c r="M92" s="328" t="s">
        <v>153</v>
      </c>
      <c r="N92" s="328" t="s">
        <v>155</v>
      </c>
      <c r="O92" s="328" t="s">
        <v>199</v>
      </c>
      <c r="P92" s="328" t="s">
        <v>157</v>
      </c>
      <c r="Q92" s="328" t="s">
        <v>75</v>
      </c>
      <c r="R92" s="328" t="s">
        <v>156</v>
      </c>
      <c r="S92" s="328" t="s">
        <v>159</v>
      </c>
      <c r="T92" s="345" t="s">
        <v>154</v>
      </c>
    </row>
    <row r="93" spans="1:20" s="4" customFormat="1" ht="12.75">
      <c r="A93" s="320">
        <v>1</v>
      </c>
      <c r="B93" s="1">
        <v>155</v>
      </c>
      <c r="C93" s="1">
        <v>155</v>
      </c>
      <c r="D93" s="1">
        <v>155</v>
      </c>
      <c r="E93" s="1">
        <v>160</v>
      </c>
      <c r="F93" s="1">
        <v>155</v>
      </c>
      <c r="G93" s="1">
        <v>160</v>
      </c>
      <c r="H93" s="1">
        <v>180</v>
      </c>
      <c r="I93" s="346">
        <v>155</v>
      </c>
      <c r="J93" s="2">
        <v>170</v>
      </c>
      <c r="K93" s="347">
        <f>+A93</f>
        <v>1</v>
      </c>
      <c r="L93" s="1">
        <v>148</v>
      </c>
      <c r="M93" s="1">
        <v>148</v>
      </c>
      <c r="N93" s="1">
        <v>148</v>
      </c>
      <c r="O93" s="1">
        <v>150</v>
      </c>
      <c r="P93" s="1">
        <v>148</v>
      </c>
      <c r="Q93" s="1">
        <v>150</v>
      </c>
      <c r="R93" s="1">
        <v>160</v>
      </c>
      <c r="S93" s="1">
        <v>148</v>
      </c>
      <c r="T93" s="331">
        <v>160</v>
      </c>
    </row>
    <row r="94" spans="1:20" s="4" customFormat="1" ht="12.75">
      <c r="A94" s="320">
        <v>2</v>
      </c>
      <c r="B94" s="1">
        <v>157</v>
      </c>
      <c r="C94" s="1">
        <v>157</v>
      </c>
      <c r="D94" s="1">
        <v>157</v>
      </c>
      <c r="E94" s="1">
        <v>162</v>
      </c>
      <c r="F94" s="1">
        <v>157</v>
      </c>
      <c r="G94" s="1">
        <v>162</v>
      </c>
      <c r="H94" s="1">
        <v>180</v>
      </c>
      <c r="I94" s="346">
        <v>157</v>
      </c>
      <c r="J94" s="2">
        <v>170</v>
      </c>
      <c r="K94" s="347">
        <f aca="true" t="shared" si="0" ref="K94:K109">+A94</f>
        <v>2</v>
      </c>
      <c r="L94" s="1">
        <v>150</v>
      </c>
      <c r="M94" s="1">
        <v>150</v>
      </c>
      <c r="N94" s="1">
        <v>150</v>
      </c>
      <c r="O94" s="1">
        <v>152</v>
      </c>
      <c r="P94" s="1">
        <v>150</v>
      </c>
      <c r="Q94" s="1">
        <v>152</v>
      </c>
      <c r="R94" s="1">
        <v>160</v>
      </c>
      <c r="S94" s="1">
        <v>150</v>
      </c>
      <c r="T94" s="331">
        <v>160</v>
      </c>
    </row>
    <row r="95" spans="1:20" s="4" customFormat="1" ht="12.75">
      <c r="A95" s="320">
        <v>3</v>
      </c>
      <c r="B95" s="1">
        <v>160</v>
      </c>
      <c r="C95" s="1">
        <v>160</v>
      </c>
      <c r="D95" s="1">
        <v>160</v>
      </c>
      <c r="E95" s="1">
        <v>164</v>
      </c>
      <c r="F95" s="1">
        <v>160</v>
      </c>
      <c r="G95" s="1">
        <v>164</v>
      </c>
      <c r="H95" s="1">
        <v>183</v>
      </c>
      <c r="I95" s="346">
        <v>160</v>
      </c>
      <c r="J95" s="2">
        <v>170</v>
      </c>
      <c r="K95" s="347">
        <f t="shared" si="0"/>
        <v>3</v>
      </c>
      <c r="L95" s="1">
        <v>152</v>
      </c>
      <c r="M95" s="1">
        <v>152</v>
      </c>
      <c r="N95" s="1">
        <v>152</v>
      </c>
      <c r="O95" s="1">
        <v>154</v>
      </c>
      <c r="P95" s="1">
        <v>152</v>
      </c>
      <c r="Q95" s="1">
        <v>154</v>
      </c>
      <c r="R95" s="1">
        <v>163</v>
      </c>
      <c r="S95" s="1">
        <v>152</v>
      </c>
      <c r="T95" s="331">
        <v>163</v>
      </c>
    </row>
    <row r="96" spans="1:20" s="4" customFormat="1" ht="12.75">
      <c r="A96" s="320">
        <v>4</v>
      </c>
      <c r="B96" s="1">
        <v>162</v>
      </c>
      <c r="C96" s="1">
        <v>162</v>
      </c>
      <c r="D96" s="1">
        <v>162</v>
      </c>
      <c r="E96" s="1">
        <v>165</v>
      </c>
      <c r="F96" s="1">
        <v>162</v>
      </c>
      <c r="G96" s="1">
        <v>165</v>
      </c>
      <c r="H96" s="1">
        <v>183</v>
      </c>
      <c r="I96" s="346">
        <v>162</v>
      </c>
      <c r="J96" s="2">
        <v>173</v>
      </c>
      <c r="K96" s="347">
        <f t="shared" si="0"/>
        <v>4</v>
      </c>
      <c r="L96" s="1">
        <v>154</v>
      </c>
      <c r="M96" s="1">
        <v>154</v>
      </c>
      <c r="N96" s="1">
        <v>154</v>
      </c>
      <c r="O96" s="1">
        <v>156</v>
      </c>
      <c r="P96" s="1">
        <v>154</v>
      </c>
      <c r="Q96" s="1">
        <v>156</v>
      </c>
      <c r="R96" s="1">
        <v>163</v>
      </c>
      <c r="S96" s="1">
        <v>154</v>
      </c>
      <c r="T96" s="331">
        <v>163</v>
      </c>
    </row>
    <row r="97" spans="1:20" s="4" customFormat="1" ht="12.75">
      <c r="A97" s="320">
        <v>5</v>
      </c>
      <c r="B97" s="1">
        <v>165</v>
      </c>
      <c r="C97" s="1">
        <v>165</v>
      </c>
      <c r="D97" s="1">
        <v>165</v>
      </c>
      <c r="E97" s="1">
        <v>167</v>
      </c>
      <c r="F97" s="1">
        <v>165</v>
      </c>
      <c r="G97" s="1">
        <v>167</v>
      </c>
      <c r="H97" s="1">
        <v>186</v>
      </c>
      <c r="I97" s="346">
        <v>165</v>
      </c>
      <c r="J97" s="2">
        <v>173</v>
      </c>
      <c r="K97" s="347">
        <f t="shared" si="0"/>
        <v>5</v>
      </c>
      <c r="L97" s="1">
        <v>156</v>
      </c>
      <c r="M97" s="1">
        <v>156</v>
      </c>
      <c r="N97" s="1">
        <v>156</v>
      </c>
      <c r="O97" s="1">
        <v>158</v>
      </c>
      <c r="P97" s="1">
        <v>156</v>
      </c>
      <c r="Q97" s="1">
        <v>158</v>
      </c>
      <c r="R97" s="1">
        <v>166</v>
      </c>
      <c r="S97" s="1">
        <v>156</v>
      </c>
      <c r="T97" s="331">
        <v>166</v>
      </c>
    </row>
    <row r="98" spans="1:20" s="4" customFormat="1" ht="12.75">
      <c r="A98" s="320">
        <v>6</v>
      </c>
      <c r="B98" s="1">
        <v>167</v>
      </c>
      <c r="C98" s="1">
        <v>167</v>
      </c>
      <c r="D98" s="1">
        <v>167</v>
      </c>
      <c r="E98" s="1">
        <v>170</v>
      </c>
      <c r="F98" s="1">
        <v>167</v>
      </c>
      <c r="G98" s="1">
        <v>170</v>
      </c>
      <c r="H98" s="1">
        <v>186</v>
      </c>
      <c r="I98" s="346">
        <v>167</v>
      </c>
      <c r="J98" s="2">
        <v>173</v>
      </c>
      <c r="K98" s="347">
        <f t="shared" si="0"/>
        <v>6</v>
      </c>
      <c r="L98" s="1">
        <v>158</v>
      </c>
      <c r="M98" s="1">
        <v>158</v>
      </c>
      <c r="N98" s="1">
        <v>158</v>
      </c>
      <c r="O98" s="1">
        <v>160</v>
      </c>
      <c r="P98" s="1">
        <v>158</v>
      </c>
      <c r="Q98" s="1">
        <v>160</v>
      </c>
      <c r="R98" s="1">
        <v>166</v>
      </c>
      <c r="S98" s="1">
        <v>158</v>
      </c>
      <c r="T98" s="331">
        <v>166</v>
      </c>
    </row>
    <row r="99" spans="1:20" s="4" customFormat="1" ht="12.75">
      <c r="A99" s="320">
        <v>7</v>
      </c>
      <c r="B99" s="1">
        <v>170</v>
      </c>
      <c r="C99" s="1">
        <v>170</v>
      </c>
      <c r="D99" s="1">
        <v>170</v>
      </c>
      <c r="E99" s="1">
        <v>172</v>
      </c>
      <c r="F99" s="1">
        <v>170</v>
      </c>
      <c r="G99" s="1">
        <v>172</v>
      </c>
      <c r="H99" s="1">
        <v>189</v>
      </c>
      <c r="I99" s="346">
        <v>170</v>
      </c>
      <c r="J99" s="2">
        <v>176</v>
      </c>
      <c r="K99" s="347">
        <f t="shared" si="0"/>
        <v>7</v>
      </c>
      <c r="L99" s="1">
        <v>160</v>
      </c>
      <c r="M99" s="1">
        <v>160</v>
      </c>
      <c r="N99" s="1">
        <v>160</v>
      </c>
      <c r="O99" s="1">
        <v>162</v>
      </c>
      <c r="P99" s="1">
        <v>160</v>
      </c>
      <c r="Q99" s="1">
        <v>162</v>
      </c>
      <c r="R99" s="1">
        <v>169</v>
      </c>
      <c r="S99" s="1">
        <v>160</v>
      </c>
      <c r="T99" s="331">
        <v>169</v>
      </c>
    </row>
    <row r="100" spans="1:20" s="4" customFormat="1" ht="12.75">
      <c r="A100" s="320">
        <v>8</v>
      </c>
      <c r="B100" s="1">
        <v>172</v>
      </c>
      <c r="C100" s="1">
        <v>172</v>
      </c>
      <c r="D100" s="1">
        <v>172</v>
      </c>
      <c r="E100" s="1">
        <v>174</v>
      </c>
      <c r="F100" s="1">
        <v>172</v>
      </c>
      <c r="G100" s="1">
        <v>174</v>
      </c>
      <c r="H100" s="1">
        <v>189</v>
      </c>
      <c r="I100" s="346">
        <v>172</v>
      </c>
      <c r="J100" s="2">
        <v>176</v>
      </c>
      <c r="K100" s="347">
        <f t="shared" si="0"/>
        <v>8</v>
      </c>
      <c r="L100" s="1">
        <v>162</v>
      </c>
      <c r="M100" s="1">
        <v>162</v>
      </c>
      <c r="N100" s="1">
        <v>162</v>
      </c>
      <c r="O100" s="1">
        <v>164</v>
      </c>
      <c r="P100" s="1">
        <v>162</v>
      </c>
      <c r="Q100" s="1">
        <v>164</v>
      </c>
      <c r="R100" s="1">
        <v>169</v>
      </c>
      <c r="S100" s="1">
        <v>162</v>
      </c>
      <c r="T100" s="331">
        <v>169</v>
      </c>
    </row>
    <row r="101" spans="1:20" s="4" customFormat="1" ht="12.75">
      <c r="A101" s="320">
        <v>9</v>
      </c>
      <c r="B101" s="1">
        <v>175</v>
      </c>
      <c r="C101" s="1">
        <v>175</v>
      </c>
      <c r="D101" s="1">
        <v>175</v>
      </c>
      <c r="E101" s="1">
        <v>176</v>
      </c>
      <c r="F101" s="1">
        <v>175</v>
      </c>
      <c r="G101" s="1">
        <v>176</v>
      </c>
      <c r="H101" s="1">
        <v>192</v>
      </c>
      <c r="I101" s="346">
        <v>175</v>
      </c>
      <c r="J101" s="2">
        <v>182</v>
      </c>
      <c r="K101" s="347">
        <f t="shared" si="0"/>
        <v>9</v>
      </c>
      <c r="L101" s="1">
        <v>164</v>
      </c>
      <c r="M101" s="1">
        <v>164</v>
      </c>
      <c r="N101" s="1">
        <v>164</v>
      </c>
      <c r="O101" s="1">
        <v>166</v>
      </c>
      <c r="P101" s="1">
        <v>164</v>
      </c>
      <c r="Q101" s="1">
        <v>166</v>
      </c>
      <c r="R101" s="1">
        <v>172</v>
      </c>
      <c r="S101" s="1">
        <v>164</v>
      </c>
      <c r="T101" s="331">
        <v>172</v>
      </c>
    </row>
    <row r="102" spans="1:20" s="4" customFormat="1" ht="12.75">
      <c r="A102" s="320">
        <v>10</v>
      </c>
      <c r="B102" s="1">
        <v>177</v>
      </c>
      <c r="C102" s="1">
        <v>177</v>
      </c>
      <c r="D102" s="1">
        <v>177</v>
      </c>
      <c r="E102" s="1">
        <v>178</v>
      </c>
      <c r="F102" s="1">
        <v>177</v>
      </c>
      <c r="G102" s="1">
        <v>178</v>
      </c>
      <c r="H102" s="1">
        <v>192</v>
      </c>
      <c r="I102" s="346">
        <v>177</v>
      </c>
      <c r="J102" s="2">
        <v>182</v>
      </c>
      <c r="K102" s="347">
        <f t="shared" si="0"/>
        <v>10</v>
      </c>
      <c r="L102" s="1">
        <v>166</v>
      </c>
      <c r="M102" s="1">
        <v>166</v>
      </c>
      <c r="N102" s="1">
        <v>166</v>
      </c>
      <c r="O102" s="1">
        <v>168</v>
      </c>
      <c r="P102" s="1">
        <v>166</v>
      </c>
      <c r="Q102" s="1">
        <v>168</v>
      </c>
      <c r="R102" s="1">
        <v>172</v>
      </c>
      <c r="S102" s="1">
        <v>166</v>
      </c>
      <c r="T102" s="331">
        <v>172</v>
      </c>
    </row>
    <row r="103" spans="1:20" s="4" customFormat="1" ht="12.75">
      <c r="A103" s="320">
        <v>11</v>
      </c>
      <c r="B103" s="1">
        <v>180</v>
      </c>
      <c r="C103" s="1">
        <v>180</v>
      </c>
      <c r="D103" s="1">
        <v>180</v>
      </c>
      <c r="E103" s="1">
        <v>180</v>
      </c>
      <c r="F103" s="1">
        <v>180</v>
      </c>
      <c r="G103" s="1">
        <v>180</v>
      </c>
      <c r="H103" s="1">
        <v>195</v>
      </c>
      <c r="I103" s="346">
        <v>180</v>
      </c>
      <c r="J103" s="2">
        <v>185</v>
      </c>
      <c r="K103" s="347">
        <f t="shared" si="0"/>
        <v>11</v>
      </c>
      <c r="L103" s="1">
        <v>168</v>
      </c>
      <c r="M103" s="1">
        <v>168</v>
      </c>
      <c r="N103" s="1">
        <v>168</v>
      </c>
      <c r="O103" s="1">
        <v>170</v>
      </c>
      <c r="P103" s="1">
        <v>168</v>
      </c>
      <c r="Q103" s="1">
        <v>170</v>
      </c>
      <c r="R103" s="1">
        <v>175</v>
      </c>
      <c r="S103" s="1">
        <v>168</v>
      </c>
      <c r="T103" s="331">
        <v>175</v>
      </c>
    </row>
    <row r="104" spans="1:20" s="4" customFormat="1" ht="12.75">
      <c r="A104" s="320">
        <v>12</v>
      </c>
      <c r="B104" s="1">
        <v>182</v>
      </c>
      <c r="C104" s="1">
        <v>182</v>
      </c>
      <c r="D104" s="1">
        <v>182</v>
      </c>
      <c r="E104" s="1">
        <v>182</v>
      </c>
      <c r="F104" s="1">
        <v>182</v>
      </c>
      <c r="G104" s="1">
        <v>182</v>
      </c>
      <c r="H104" s="1">
        <v>198</v>
      </c>
      <c r="I104" s="346">
        <v>182</v>
      </c>
      <c r="J104" s="2">
        <v>188</v>
      </c>
      <c r="K104" s="347">
        <f t="shared" si="0"/>
        <v>12</v>
      </c>
      <c r="L104" s="1">
        <v>170</v>
      </c>
      <c r="M104" s="1">
        <v>170</v>
      </c>
      <c r="N104" s="1">
        <v>170</v>
      </c>
      <c r="O104" s="1">
        <v>172</v>
      </c>
      <c r="P104" s="1">
        <v>170</v>
      </c>
      <c r="Q104" s="1">
        <v>172</v>
      </c>
      <c r="R104" s="1">
        <v>178</v>
      </c>
      <c r="S104" s="1">
        <v>170</v>
      </c>
      <c r="T104" s="331">
        <v>178</v>
      </c>
    </row>
    <row r="105" spans="1:20" s="4" customFormat="1" ht="12.75">
      <c r="A105" s="320">
        <v>13</v>
      </c>
      <c r="B105" s="1">
        <v>185</v>
      </c>
      <c r="C105" s="1">
        <v>185</v>
      </c>
      <c r="D105" s="1">
        <v>185</v>
      </c>
      <c r="E105" s="1">
        <v>185</v>
      </c>
      <c r="F105" s="1">
        <v>185</v>
      </c>
      <c r="G105" s="1">
        <v>185</v>
      </c>
      <c r="H105" s="1">
        <v>200</v>
      </c>
      <c r="I105" s="346">
        <v>185</v>
      </c>
      <c r="J105" s="2">
        <v>191</v>
      </c>
      <c r="K105" s="347">
        <f t="shared" si="0"/>
        <v>13</v>
      </c>
      <c r="L105" s="1">
        <v>172</v>
      </c>
      <c r="M105" s="1">
        <v>172</v>
      </c>
      <c r="N105" s="1">
        <v>172</v>
      </c>
      <c r="O105" s="1">
        <v>174</v>
      </c>
      <c r="P105" s="1">
        <v>172</v>
      </c>
      <c r="Q105" s="1">
        <v>174</v>
      </c>
      <c r="R105" s="1">
        <v>180</v>
      </c>
      <c r="S105" s="1">
        <v>172</v>
      </c>
      <c r="T105" s="331">
        <v>181</v>
      </c>
    </row>
    <row r="106" spans="1:20" s="4" customFormat="1" ht="12.75">
      <c r="A106" s="320">
        <v>14</v>
      </c>
      <c r="B106" s="1">
        <v>187</v>
      </c>
      <c r="C106" s="1">
        <v>187</v>
      </c>
      <c r="D106" s="1">
        <v>187</v>
      </c>
      <c r="E106" s="1">
        <v>187</v>
      </c>
      <c r="F106" s="1">
        <v>187</v>
      </c>
      <c r="G106" s="1">
        <v>187</v>
      </c>
      <c r="H106" s="1">
        <v>203</v>
      </c>
      <c r="I106" s="346">
        <v>187</v>
      </c>
      <c r="J106" s="2">
        <v>194</v>
      </c>
      <c r="K106" s="347">
        <f t="shared" si="0"/>
        <v>14</v>
      </c>
      <c r="L106" s="1">
        <v>174</v>
      </c>
      <c r="M106" s="1">
        <v>174</v>
      </c>
      <c r="N106" s="1">
        <v>174</v>
      </c>
      <c r="O106" s="1">
        <v>176</v>
      </c>
      <c r="P106" s="1">
        <v>174</v>
      </c>
      <c r="Q106" s="1">
        <v>176</v>
      </c>
      <c r="R106" s="1">
        <v>183</v>
      </c>
      <c r="S106" s="1">
        <v>174</v>
      </c>
      <c r="T106" s="331">
        <v>184</v>
      </c>
    </row>
    <row r="107" spans="1:20" s="4" customFormat="1" ht="12.75">
      <c r="A107" s="320">
        <v>15</v>
      </c>
      <c r="B107" s="1">
        <v>190</v>
      </c>
      <c r="C107" s="1">
        <v>190</v>
      </c>
      <c r="D107" s="1">
        <v>190</v>
      </c>
      <c r="E107" s="1">
        <v>190</v>
      </c>
      <c r="F107" s="1">
        <v>190</v>
      </c>
      <c r="G107" s="1">
        <v>190</v>
      </c>
      <c r="H107" s="1">
        <v>206</v>
      </c>
      <c r="I107" s="346">
        <v>190</v>
      </c>
      <c r="J107" s="2">
        <v>197</v>
      </c>
      <c r="K107" s="347">
        <f t="shared" si="0"/>
        <v>15</v>
      </c>
      <c r="L107" s="1">
        <v>176</v>
      </c>
      <c r="M107" s="1">
        <v>176</v>
      </c>
      <c r="N107" s="1">
        <v>176</v>
      </c>
      <c r="O107" s="1">
        <v>178</v>
      </c>
      <c r="P107" s="1">
        <v>176</v>
      </c>
      <c r="Q107" s="1">
        <v>178</v>
      </c>
      <c r="R107" s="1">
        <v>186</v>
      </c>
      <c r="S107" s="1">
        <v>176</v>
      </c>
      <c r="T107" s="331">
        <v>187</v>
      </c>
    </row>
    <row r="108" spans="1:20" s="4" customFormat="1" ht="12.75">
      <c r="A108" s="320">
        <v>16</v>
      </c>
      <c r="B108" s="1">
        <v>192</v>
      </c>
      <c r="C108" s="1">
        <v>192</v>
      </c>
      <c r="D108" s="1">
        <v>192</v>
      </c>
      <c r="E108" s="1">
        <v>192</v>
      </c>
      <c r="F108" s="1">
        <v>192</v>
      </c>
      <c r="G108" s="1">
        <v>192</v>
      </c>
      <c r="H108" s="1">
        <v>209</v>
      </c>
      <c r="I108" s="346">
        <v>192</v>
      </c>
      <c r="J108" s="2">
        <v>200</v>
      </c>
      <c r="K108" s="347">
        <f t="shared" si="0"/>
        <v>16</v>
      </c>
      <c r="L108" s="1">
        <v>178</v>
      </c>
      <c r="M108" s="1">
        <v>178</v>
      </c>
      <c r="N108" s="1">
        <v>178</v>
      </c>
      <c r="O108" s="1">
        <v>180</v>
      </c>
      <c r="P108" s="1">
        <v>178</v>
      </c>
      <c r="Q108" s="1">
        <v>180</v>
      </c>
      <c r="R108" s="1">
        <v>189</v>
      </c>
      <c r="S108" s="1">
        <v>178</v>
      </c>
      <c r="T108" s="331">
        <v>190</v>
      </c>
    </row>
    <row r="109" spans="1:20" s="4" customFormat="1" ht="12.75">
      <c r="A109" s="320">
        <v>17</v>
      </c>
      <c r="B109" s="1">
        <v>195</v>
      </c>
      <c r="C109" s="1">
        <v>195</v>
      </c>
      <c r="D109" s="1">
        <v>195</v>
      </c>
      <c r="E109" s="1">
        <v>195</v>
      </c>
      <c r="F109" s="1">
        <v>195</v>
      </c>
      <c r="G109" s="1">
        <v>195</v>
      </c>
      <c r="H109" s="1">
        <v>212</v>
      </c>
      <c r="I109" s="346">
        <v>195</v>
      </c>
      <c r="J109" s="2">
        <v>203</v>
      </c>
      <c r="K109" s="347">
        <f t="shared" si="0"/>
        <v>17</v>
      </c>
      <c r="L109" s="1">
        <v>180</v>
      </c>
      <c r="M109" s="1">
        <v>180</v>
      </c>
      <c r="N109" s="1">
        <v>180</v>
      </c>
      <c r="O109" s="1">
        <v>182</v>
      </c>
      <c r="P109" s="1">
        <v>180</v>
      </c>
      <c r="Q109" s="1">
        <v>182</v>
      </c>
      <c r="R109" s="1">
        <v>192</v>
      </c>
      <c r="S109" s="1">
        <v>180</v>
      </c>
      <c r="T109" s="331">
        <v>193</v>
      </c>
    </row>
    <row r="110" spans="1:20" s="4" customFormat="1" ht="12.75">
      <c r="A110" s="320">
        <v>18</v>
      </c>
      <c r="B110" s="1">
        <v>197</v>
      </c>
      <c r="C110" s="1">
        <v>197</v>
      </c>
      <c r="D110" s="1">
        <v>197</v>
      </c>
      <c r="E110" s="1">
        <v>197</v>
      </c>
      <c r="F110" s="1">
        <v>197</v>
      </c>
      <c r="G110" s="1">
        <v>197</v>
      </c>
      <c r="H110" s="1">
        <v>215</v>
      </c>
      <c r="I110" s="346">
        <v>197</v>
      </c>
      <c r="J110" s="2">
        <v>206</v>
      </c>
      <c r="K110" s="347">
        <f>+A110</f>
        <v>18</v>
      </c>
      <c r="L110" s="1">
        <v>182</v>
      </c>
      <c r="M110" s="1">
        <v>182</v>
      </c>
      <c r="N110" s="1">
        <v>182</v>
      </c>
      <c r="O110" s="1">
        <v>184</v>
      </c>
      <c r="P110" s="1">
        <v>182</v>
      </c>
      <c r="Q110" s="1">
        <v>184</v>
      </c>
      <c r="R110" s="1">
        <v>195</v>
      </c>
      <c r="S110" s="1">
        <v>182</v>
      </c>
      <c r="T110" s="331">
        <v>196</v>
      </c>
    </row>
    <row r="111" spans="1:20" s="4" customFormat="1" ht="12.75">
      <c r="A111" s="320">
        <v>19</v>
      </c>
      <c r="B111" s="1">
        <v>200</v>
      </c>
      <c r="C111" s="1">
        <v>200</v>
      </c>
      <c r="D111" s="1">
        <v>200</v>
      </c>
      <c r="E111" s="1">
        <v>200</v>
      </c>
      <c r="F111" s="1">
        <v>200</v>
      </c>
      <c r="G111" s="1">
        <v>200</v>
      </c>
      <c r="H111" s="1">
        <v>220</v>
      </c>
      <c r="I111" s="346">
        <v>200</v>
      </c>
      <c r="J111" s="2">
        <v>209</v>
      </c>
      <c r="K111" s="347">
        <f>+A111</f>
        <v>19</v>
      </c>
      <c r="L111" s="1">
        <v>184</v>
      </c>
      <c r="M111" s="1">
        <v>184</v>
      </c>
      <c r="N111" s="1">
        <v>184</v>
      </c>
      <c r="O111" s="1">
        <v>186</v>
      </c>
      <c r="P111" s="1">
        <v>184</v>
      </c>
      <c r="Q111" s="1">
        <v>186</v>
      </c>
      <c r="R111" s="1">
        <v>197</v>
      </c>
      <c r="S111" s="1">
        <v>184</v>
      </c>
      <c r="T111" s="331">
        <v>198</v>
      </c>
    </row>
    <row r="112" spans="1:20" s="4" customFormat="1" ht="13.5" thickBot="1">
      <c r="A112" s="323">
        <v>99</v>
      </c>
      <c r="B112" s="332">
        <v>205</v>
      </c>
      <c r="C112" s="332">
        <v>205</v>
      </c>
      <c r="D112" s="332">
        <v>205</v>
      </c>
      <c r="E112" s="332">
        <v>205</v>
      </c>
      <c r="F112" s="332">
        <v>205</v>
      </c>
      <c r="G112" s="332">
        <v>205</v>
      </c>
      <c r="H112" s="332">
        <v>225</v>
      </c>
      <c r="I112" s="348">
        <v>205</v>
      </c>
      <c r="J112" s="349">
        <v>212</v>
      </c>
      <c r="K112" s="350">
        <f>+A112</f>
        <v>99</v>
      </c>
      <c r="L112" s="332">
        <v>185</v>
      </c>
      <c r="M112" s="332">
        <v>185</v>
      </c>
      <c r="N112" s="332">
        <v>185</v>
      </c>
      <c r="O112" s="332">
        <v>188</v>
      </c>
      <c r="P112" s="332">
        <v>185</v>
      </c>
      <c r="Q112" s="332">
        <v>188</v>
      </c>
      <c r="R112" s="332">
        <v>200</v>
      </c>
      <c r="S112" s="332">
        <v>185</v>
      </c>
      <c r="T112" s="335">
        <v>200</v>
      </c>
    </row>
    <row r="113" spans="1:20" s="4" customFormat="1" ht="13.5" thickBot="1">
      <c r="A113" s="351" t="s">
        <v>188</v>
      </c>
      <c r="B113" s="352"/>
      <c r="C113" s="352"/>
      <c r="D113" s="352"/>
      <c r="E113" s="352"/>
      <c r="F113" s="352"/>
      <c r="G113" s="352"/>
      <c r="H113" s="352"/>
      <c r="I113" s="353"/>
      <c r="J113" s="354"/>
      <c r="K113" s="355" t="s">
        <v>191</v>
      </c>
      <c r="L113" s="352"/>
      <c r="M113" s="352"/>
      <c r="N113" s="352"/>
      <c r="O113" s="352"/>
      <c r="P113" s="352"/>
      <c r="Q113" s="352"/>
      <c r="R113" s="352"/>
      <c r="S113" s="352"/>
      <c r="T113" s="354"/>
    </row>
    <row r="114" spans="1:20" s="4" customFormat="1" ht="12.75">
      <c r="A114" s="356" t="s">
        <v>3</v>
      </c>
      <c r="B114" s="328" t="s">
        <v>152</v>
      </c>
      <c r="C114" s="328" t="s">
        <v>153</v>
      </c>
      <c r="D114" s="328" t="s">
        <v>155</v>
      </c>
      <c r="E114" s="328" t="s">
        <v>199</v>
      </c>
      <c r="F114" s="328" t="s">
        <v>157</v>
      </c>
      <c r="G114" s="328" t="s">
        <v>75</v>
      </c>
      <c r="H114" s="328" t="s">
        <v>156</v>
      </c>
      <c r="I114" s="328" t="s">
        <v>159</v>
      </c>
      <c r="J114" s="345" t="s">
        <v>154</v>
      </c>
      <c r="K114" s="357" t="str">
        <f>+A114</f>
        <v>Physique</v>
      </c>
      <c r="L114" s="328" t="s">
        <v>152</v>
      </c>
      <c r="M114" s="328" t="s">
        <v>153</v>
      </c>
      <c r="N114" s="328" t="s">
        <v>155</v>
      </c>
      <c r="O114" s="328" t="s">
        <v>199</v>
      </c>
      <c r="P114" s="328" t="s">
        <v>157</v>
      </c>
      <c r="Q114" s="328" t="s">
        <v>75</v>
      </c>
      <c r="R114" s="328" t="s">
        <v>156</v>
      </c>
      <c r="S114" s="328" t="s">
        <v>159</v>
      </c>
      <c r="T114" s="345" t="s">
        <v>154</v>
      </c>
    </row>
    <row r="115" spans="1:20" s="4" customFormat="1" ht="12.75">
      <c r="A115" s="320">
        <v>1</v>
      </c>
      <c r="B115" s="1">
        <v>55</v>
      </c>
      <c r="C115" s="1">
        <v>55</v>
      </c>
      <c r="D115" s="1">
        <v>55</v>
      </c>
      <c r="E115" s="1">
        <v>70</v>
      </c>
      <c r="F115" s="1">
        <v>55</v>
      </c>
      <c r="G115" s="1">
        <v>70</v>
      </c>
      <c r="H115" s="1">
        <v>100</v>
      </c>
      <c r="I115" s="358">
        <f>+B115*0.95</f>
        <v>52.25</v>
      </c>
      <c r="J115" s="331">
        <v>85</v>
      </c>
      <c r="K115" s="12">
        <v>1</v>
      </c>
      <c r="L115" s="1">
        <v>38</v>
      </c>
      <c r="M115" s="1">
        <v>38</v>
      </c>
      <c r="N115" s="1">
        <v>38</v>
      </c>
      <c r="O115" s="1">
        <v>42</v>
      </c>
      <c r="P115" s="1">
        <v>38</v>
      </c>
      <c r="Q115" s="1">
        <v>42</v>
      </c>
      <c r="R115" s="1">
        <v>70</v>
      </c>
      <c r="S115" s="359">
        <f>+L115*0.95</f>
        <v>36.1</v>
      </c>
      <c r="T115" s="331">
        <v>55</v>
      </c>
    </row>
    <row r="116" spans="1:20" s="4" customFormat="1" ht="12.75">
      <c r="A116" s="320">
        <v>2</v>
      </c>
      <c r="B116" s="1">
        <v>57</v>
      </c>
      <c r="C116" s="1">
        <v>57</v>
      </c>
      <c r="D116" s="1">
        <v>57</v>
      </c>
      <c r="E116" s="1">
        <v>73</v>
      </c>
      <c r="F116" s="1">
        <v>57</v>
      </c>
      <c r="G116" s="1">
        <v>73</v>
      </c>
      <c r="H116" s="1">
        <v>100</v>
      </c>
      <c r="I116" s="358">
        <f aca="true" t="shared" si="1" ref="I116:I131">+B116*0.95</f>
        <v>54.15</v>
      </c>
      <c r="J116" s="331">
        <v>85</v>
      </c>
      <c r="K116" s="12">
        <v>2</v>
      </c>
      <c r="L116" s="1">
        <v>40</v>
      </c>
      <c r="M116" s="1">
        <v>40</v>
      </c>
      <c r="N116" s="1">
        <v>40</v>
      </c>
      <c r="O116" s="1">
        <v>43</v>
      </c>
      <c r="P116" s="1">
        <v>40</v>
      </c>
      <c r="Q116" s="1">
        <v>43</v>
      </c>
      <c r="R116" s="1">
        <v>70</v>
      </c>
      <c r="S116" s="359">
        <f aca="true" t="shared" si="2" ref="S116:S131">+L116*0.95</f>
        <v>38</v>
      </c>
      <c r="T116" s="331">
        <v>55</v>
      </c>
    </row>
    <row r="117" spans="1:20" s="4" customFormat="1" ht="12.75">
      <c r="A117" s="320">
        <v>3</v>
      </c>
      <c r="B117" s="1">
        <v>60</v>
      </c>
      <c r="C117" s="1">
        <v>60</v>
      </c>
      <c r="D117" s="1">
        <v>60</v>
      </c>
      <c r="E117" s="1">
        <v>75</v>
      </c>
      <c r="F117" s="1">
        <v>60</v>
      </c>
      <c r="G117" s="1">
        <v>75</v>
      </c>
      <c r="H117" s="1">
        <v>105</v>
      </c>
      <c r="I117" s="358">
        <f t="shared" si="1"/>
        <v>57</v>
      </c>
      <c r="J117" s="331">
        <v>90</v>
      </c>
      <c r="K117" s="12">
        <v>3</v>
      </c>
      <c r="L117" s="1">
        <v>42</v>
      </c>
      <c r="M117" s="1">
        <v>42</v>
      </c>
      <c r="N117" s="1">
        <v>42</v>
      </c>
      <c r="O117" s="1">
        <v>45</v>
      </c>
      <c r="P117" s="1">
        <v>42</v>
      </c>
      <c r="Q117" s="1">
        <v>45</v>
      </c>
      <c r="R117" s="1">
        <v>73</v>
      </c>
      <c r="S117" s="359">
        <f t="shared" si="2"/>
        <v>39.9</v>
      </c>
      <c r="T117" s="331">
        <v>59</v>
      </c>
    </row>
    <row r="118" spans="1:20" s="4" customFormat="1" ht="12.75">
      <c r="A118" s="320">
        <v>4</v>
      </c>
      <c r="B118" s="1">
        <v>63</v>
      </c>
      <c r="C118" s="1">
        <v>63</v>
      </c>
      <c r="D118" s="1">
        <v>63</v>
      </c>
      <c r="E118" s="1">
        <v>76</v>
      </c>
      <c r="F118" s="1">
        <v>63</v>
      </c>
      <c r="G118" s="1">
        <v>76</v>
      </c>
      <c r="H118" s="1">
        <v>105</v>
      </c>
      <c r="I118" s="358">
        <f t="shared" si="1"/>
        <v>59.849999999999994</v>
      </c>
      <c r="J118" s="331">
        <v>90</v>
      </c>
      <c r="K118" s="12">
        <v>4</v>
      </c>
      <c r="L118" s="1">
        <v>45</v>
      </c>
      <c r="M118" s="1">
        <v>45</v>
      </c>
      <c r="N118" s="1">
        <v>45</v>
      </c>
      <c r="O118" s="1">
        <v>47</v>
      </c>
      <c r="P118" s="1">
        <v>45</v>
      </c>
      <c r="Q118" s="1">
        <v>47</v>
      </c>
      <c r="R118" s="1">
        <v>73</v>
      </c>
      <c r="S118" s="359">
        <f t="shared" si="2"/>
        <v>42.75</v>
      </c>
      <c r="T118" s="331">
        <v>59</v>
      </c>
    </row>
    <row r="119" spans="1:20" s="4" customFormat="1" ht="12.75">
      <c r="A119" s="320">
        <v>5</v>
      </c>
      <c r="B119" s="1">
        <v>65</v>
      </c>
      <c r="C119" s="1">
        <v>65</v>
      </c>
      <c r="D119" s="1">
        <v>65</v>
      </c>
      <c r="E119" s="1">
        <v>78</v>
      </c>
      <c r="F119" s="1">
        <v>65</v>
      </c>
      <c r="G119" s="1">
        <v>78</v>
      </c>
      <c r="H119" s="1">
        <v>110</v>
      </c>
      <c r="I119" s="358">
        <f t="shared" si="1"/>
        <v>61.75</v>
      </c>
      <c r="J119" s="331">
        <v>95</v>
      </c>
      <c r="K119" s="12">
        <v>5</v>
      </c>
      <c r="L119" s="1">
        <v>47</v>
      </c>
      <c r="M119" s="1">
        <v>47</v>
      </c>
      <c r="N119" s="1">
        <v>47</v>
      </c>
      <c r="O119" s="1">
        <v>49</v>
      </c>
      <c r="P119" s="1">
        <v>47</v>
      </c>
      <c r="Q119" s="1">
        <v>49</v>
      </c>
      <c r="R119" s="1">
        <v>76</v>
      </c>
      <c r="S119" s="359">
        <f t="shared" si="2"/>
        <v>44.65</v>
      </c>
      <c r="T119" s="331">
        <v>63</v>
      </c>
    </row>
    <row r="120" spans="1:20" s="4" customFormat="1" ht="12.75">
      <c r="A120" s="320">
        <v>6</v>
      </c>
      <c r="B120" s="1">
        <v>67</v>
      </c>
      <c r="C120" s="1">
        <v>67</v>
      </c>
      <c r="D120" s="1">
        <v>67</v>
      </c>
      <c r="E120" s="1">
        <v>80</v>
      </c>
      <c r="F120" s="1">
        <v>67</v>
      </c>
      <c r="G120" s="1">
        <v>80</v>
      </c>
      <c r="H120" s="1">
        <v>110</v>
      </c>
      <c r="I120" s="358">
        <f t="shared" si="1"/>
        <v>63.65</v>
      </c>
      <c r="J120" s="331">
        <v>95</v>
      </c>
      <c r="K120" s="12">
        <v>6</v>
      </c>
      <c r="L120" s="1">
        <v>48</v>
      </c>
      <c r="M120" s="1">
        <v>48</v>
      </c>
      <c r="N120" s="1">
        <v>48</v>
      </c>
      <c r="O120" s="1">
        <v>51</v>
      </c>
      <c r="P120" s="1">
        <v>48</v>
      </c>
      <c r="Q120" s="1">
        <v>51</v>
      </c>
      <c r="R120" s="1">
        <v>76</v>
      </c>
      <c r="S120" s="359">
        <f t="shared" si="2"/>
        <v>45.599999999999994</v>
      </c>
      <c r="T120" s="331">
        <v>63</v>
      </c>
    </row>
    <row r="121" spans="1:20" s="4" customFormat="1" ht="12.75">
      <c r="A121" s="320">
        <v>7</v>
      </c>
      <c r="B121" s="1">
        <v>70</v>
      </c>
      <c r="C121" s="1">
        <v>70</v>
      </c>
      <c r="D121" s="1">
        <v>70</v>
      </c>
      <c r="E121" s="1">
        <v>82</v>
      </c>
      <c r="F121" s="1">
        <v>70</v>
      </c>
      <c r="G121" s="1">
        <v>82</v>
      </c>
      <c r="H121" s="1">
        <v>115</v>
      </c>
      <c r="I121" s="358">
        <f t="shared" si="1"/>
        <v>66.5</v>
      </c>
      <c r="J121" s="331">
        <v>100</v>
      </c>
      <c r="K121" s="12">
        <v>7</v>
      </c>
      <c r="L121" s="1">
        <v>50</v>
      </c>
      <c r="M121" s="1">
        <v>50</v>
      </c>
      <c r="N121" s="1">
        <v>50</v>
      </c>
      <c r="O121" s="1">
        <v>53</v>
      </c>
      <c r="P121" s="1">
        <v>50</v>
      </c>
      <c r="Q121" s="1">
        <v>53</v>
      </c>
      <c r="R121" s="1">
        <v>79</v>
      </c>
      <c r="S121" s="359">
        <f t="shared" si="2"/>
        <v>47.5</v>
      </c>
      <c r="T121" s="331">
        <v>67</v>
      </c>
    </row>
    <row r="122" spans="1:20" s="4" customFormat="1" ht="12.75">
      <c r="A122" s="320">
        <v>8</v>
      </c>
      <c r="B122" s="1">
        <v>73</v>
      </c>
      <c r="C122" s="1">
        <v>73</v>
      </c>
      <c r="D122" s="1">
        <v>73</v>
      </c>
      <c r="E122" s="1">
        <v>84</v>
      </c>
      <c r="F122" s="1">
        <v>73</v>
      </c>
      <c r="G122" s="1">
        <v>84</v>
      </c>
      <c r="H122" s="1">
        <v>115</v>
      </c>
      <c r="I122" s="358">
        <f t="shared" si="1"/>
        <v>69.35</v>
      </c>
      <c r="J122" s="331">
        <v>100</v>
      </c>
      <c r="K122" s="12">
        <v>8</v>
      </c>
      <c r="L122" s="1">
        <v>51</v>
      </c>
      <c r="M122" s="1">
        <v>51</v>
      </c>
      <c r="N122" s="1">
        <v>51</v>
      </c>
      <c r="O122" s="1">
        <v>55</v>
      </c>
      <c r="P122" s="1">
        <v>51</v>
      </c>
      <c r="Q122" s="1">
        <v>55</v>
      </c>
      <c r="R122" s="1">
        <v>79</v>
      </c>
      <c r="S122" s="359">
        <f t="shared" si="2"/>
        <v>48.449999999999996</v>
      </c>
      <c r="T122" s="331">
        <v>67</v>
      </c>
    </row>
    <row r="123" spans="1:20" s="4" customFormat="1" ht="12.75">
      <c r="A123" s="320">
        <v>9</v>
      </c>
      <c r="B123" s="1">
        <v>75</v>
      </c>
      <c r="C123" s="1">
        <v>75</v>
      </c>
      <c r="D123" s="1">
        <v>75</v>
      </c>
      <c r="E123" s="1">
        <v>86</v>
      </c>
      <c r="F123" s="1">
        <v>75</v>
      </c>
      <c r="G123" s="1">
        <v>86</v>
      </c>
      <c r="H123" s="1">
        <v>121</v>
      </c>
      <c r="I123" s="358">
        <f t="shared" si="1"/>
        <v>71.25</v>
      </c>
      <c r="J123" s="331">
        <v>105</v>
      </c>
      <c r="K123" s="12">
        <v>9</v>
      </c>
      <c r="L123" s="1">
        <v>53</v>
      </c>
      <c r="M123" s="1">
        <v>53</v>
      </c>
      <c r="N123" s="1">
        <v>53</v>
      </c>
      <c r="O123" s="1">
        <v>57</v>
      </c>
      <c r="P123" s="1">
        <v>53</v>
      </c>
      <c r="Q123" s="1">
        <v>57</v>
      </c>
      <c r="R123" s="1">
        <v>82</v>
      </c>
      <c r="S123" s="359">
        <f t="shared" si="2"/>
        <v>50.349999999999994</v>
      </c>
      <c r="T123" s="331">
        <v>71</v>
      </c>
    </row>
    <row r="124" spans="1:20" s="4" customFormat="1" ht="12.75">
      <c r="A124" s="320">
        <v>10</v>
      </c>
      <c r="B124" s="1">
        <v>77</v>
      </c>
      <c r="C124" s="1">
        <v>77</v>
      </c>
      <c r="D124" s="1">
        <v>77</v>
      </c>
      <c r="E124" s="1">
        <v>89</v>
      </c>
      <c r="F124" s="1">
        <v>77</v>
      </c>
      <c r="G124" s="1">
        <v>89</v>
      </c>
      <c r="H124" s="1">
        <v>121</v>
      </c>
      <c r="I124" s="358">
        <f t="shared" si="1"/>
        <v>73.14999999999999</v>
      </c>
      <c r="J124" s="331">
        <v>105</v>
      </c>
      <c r="K124" s="12">
        <v>10</v>
      </c>
      <c r="L124" s="1">
        <v>54</v>
      </c>
      <c r="M124" s="1">
        <v>54</v>
      </c>
      <c r="N124" s="1">
        <v>54</v>
      </c>
      <c r="O124" s="1">
        <v>59</v>
      </c>
      <c r="P124" s="1">
        <v>54</v>
      </c>
      <c r="Q124" s="1">
        <v>59</v>
      </c>
      <c r="R124" s="1">
        <v>82</v>
      </c>
      <c r="S124" s="359">
        <f t="shared" si="2"/>
        <v>51.3</v>
      </c>
      <c r="T124" s="331">
        <v>71</v>
      </c>
    </row>
    <row r="125" spans="1:20" s="4" customFormat="1" ht="12.75">
      <c r="A125" s="320">
        <v>11</v>
      </c>
      <c r="B125" s="1">
        <v>80</v>
      </c>
      <c r="C125" s="1">
        <v>80</v>
      </c>
      <c r="D125" s="1">
        <v>80</v>
      </c>
      <c r="E125" s="1">
        <v>92</v>
      </c>
      <c r="F125" s="1">
        <v>80</v>
      </c>
      <c r="G125" s="1">
        <v>92</v>
      </c>
      <c r="H125" s="1">
        <v>127</v>
      </c>
      <c r="I125" s="358">
        <f t="shared" si="1"/>
        <v>76</v>
      </c>
      <c r="J125" s="331">
        <v>111</v>
      </c>
      <c r="K125" s="12">
        <v>11</v>
      </c>
      <c r="L125" s="1">
        <v>56</v>
      </c>
      <c r="M125" s="1">
        <v>56</v>
      </c>
      <c r="N125" s="1">
        <v>56</v>
      </c>
      <c r="O125" s="1">
        <v>61</v>
      </c>
      <c r="P125" s="1">
        <v>56</v>
      </c>
      <c r="Q125" s="1">
        <v>61</v>
      </c>
      <c r="R125" s="1">
        <v>85</v>
      </c>
      <c r="S125" s="359">
        <f t="shared" si="2"/>
        <v>53.199999999999996</v>
      </c>
      <c r="T125" s="331">
        <v>75</v>
      </c>
    </row>
    <row r="126" spans="1:20" s="4" customFormat="1" ht="12.75">
      <c r="A126" s="320">
        <v>12</v>
      </c>
      <c r="B126" s="1">
        <v>82</v>
      </c>
      <c r="C126" s="1">
        <v>82</v>
      </c>
      <c r="D126" s="1">
        <v>82</v>
      </c>
      <c r="E126" s="1">
        <v>96</v>
      </c>
      <c r="F126" s="1">
        <v>82</v>
      </c>
      <c r="G126" s="1">
        <v>96</v>
      </c>
      <c r="H126" s="1">
        <v>133</v>
      </c>
      <c r="I126" s="358">
        <f t="shared" si="1"/>
        <v>77.89999999999999</v>
      </c>
      <c r="J126" s="331">
        <v>117</v>
      </c>
      <c r="K126" s="12">
        <v>12</v>
      </c>
      <c r="L126" s="1">
        <v>57</v>
      </c>
      <c r="M126" s="1">
        <v>57</v>
      </c>
      <c r="N126" s="1">
        <v>57</v>
      </c>
      <c r="O126" s="1">
        <v>63</v>
      </c>
      <c r="P126" s="1">
        <v>57</v>
      </c>
      <c r="Q126" s="1">
        <v>63</v>
      </c>
      <c r="R126" s="1">
        <v>88</v>
      </c>
      <c r="S126" s="359">
        <f t="shared" si="2"/>
        <v>54.15</v>
      </c>
      <c r="T126" s="331">
        <v>80</v>
      </c>
    </row>
    <row r="127" spans="1:20" s="4" customFormat="1" ht="12.75">
      <c r="A127" s="320">
        <v>13</v>
      </c>
      <c r="B127" s="1">
        <v>85</v>
      </c>
      <c r="C127" s="1">
        <v>85</v>
      </c>
      <c r="D127" s="1">
        <v>85</v>
      </c>
      <c r="E127" s="1">
        <v>100</v>
      </c>
      <c r="F127" s="1">
        <v>85</v>
      </c>
      <c r="G127" s="1">
        <v>100</v>
      </c>
      <c r="H127" s="1">
        <v>140</v>
      </c>
      <c r="I127" s="358">
        <f t="shared" si="1"/>
        <v>80.75</v>
      </c>
      <c r="J127" s="331">
        <v>123</v>
      </c>
      <c r="K127" s="12">
        <v>13</v>
      </c>
      <c r="L127" s="1">
        <v>59</v>
      </c>
      <c r="M127" s="1">
        <v>59</v>
      </c>
      <c r="N127" s="1">
        <v>59</v>
      </c>
      <c r="O127" s="1">
        <v>66</v>
      </c>
      <c r="P127" s="1">
        <v>59</v>
      </c>
      <c r="Q127" s="1">
        <v>66</v>
      </c>
      <c r="R127" s="1">
        <v>90</v>
      </c>
      <c r="S127" s="359">
        <f t="shared" si="2"/>
        <v>56.05</v>
      </c>
      <c r="T127" s="331">
        <v>85</v>
      </c>
    </row>
    <row r="128" spans="1:20" s="4" customFormat="1" ht="12.75">
      <c r="A128" s="320">
        <v>14</v>
      </c>
      <c r="B128" s="1">
        <v>87</v>
      </c>
      <c r="C128" s="1">
        <v>87</v>
      </c>
      <c r="D128" s="1">
        <v>87</v>
      </c>
      <c r="E128" s="1">
        <v>105</v>
      </c>
      <c r="F128" s="1">
        <v>87</v>
      </c>
      <c r="G128" s="1">
        <v>105</v>
      </c>
      <c r="H128" s="1">
        <v>146</v>
      </c>
      <c r="I128" s="358">
        <f t="shared" si="1"/>
        <v>82.64999999999999</v>
      </c>
      <c r="J128" s="331">
        <v>129</v>
      </c>
      <c r="K128" s="12">
        <v>14</v>
      </c>
      <c r="L128" s="1">
        <v>61</v>
      </c>
      <c r="M128" s="1">
        <v>61</v>
      </c>
      <c r="N128" s="1">
        <v>61</v>
      </c>
      <c r="O128" s="1">
        <v>69</v>
      </c>
      <c r="P128" s="1">
        <v>61</v>
      </c>
      <c r="Q128" s="1">
        <v>69</v>
      </c>
      <c r="R128" s="1">
        <v>94</v>
      </c>
      <c r="S128" s="359">
        <f t="shared" si="2"/>
        <v>57.949999999999996</v>
      </c>
      <c r="T128" s="331">
        <v>90</v>
      </c>
    </row>
    <row r="129" spans="1:20" s="4" customFormat="1" ht="12.75">
      <c r="A129" s="320">
        <v>15</v>
      </c>
      <c r="B129" s="1">
        <v>90</v>
      </c>
      <c r="C129" s="1">
        <v>90</v>
      </c>
      <c r="D129" s="1">
        <v>90</v>
      </c>
      <c r="E129" s="1">
        <v>110</v>
      </c>
      <c r="F129" s="1">
        <v>90</v>
      </c>
      <c r="G129" s="1">
        <v>110</v>
      </c>
      <c r="H129" s="1">
        <v>155</v>
      </c>
      <c r="I129" s="358">
        <f t="shared" si="1"/>
        <v>85.5</v>
      </c>
      <c r="J129" s="331">
        <v>135</v>
      </c>
      <c r="K129" s="12">
        <v>15</v>
      </c>
      <c r="L129" s="1">
        <v>62</v>
      </c>
      <c r="M129" s="1">
        <v>62</v>
      </c>
      <c r="N129" s="1">
        <v>62</v>
      </c>
      <c r="O129" s="1">
        <v>72</v>
      </c>
      <c r="P129" s="1">
        <v>62</v>
      </c>
      <c r="Q129" s="1">
        <v>72</v>
      </c>
      <c r="R129" s="1">
        <v>93</v>
      </c>
      <c r="S129" s="359">
        <f t="shared" si="2"/>
        <v>58.9</v>
      </c>
      <c r="T129" s="331">
        <v>95</v>
      </c>
    </row>
    <row r="130" spans="1:20" s="4" customFormat="1" ht="12.75">
      <c r="A130" s="320">
        <v>16</v>
      </c>
      <c r="B130" s="1">
        <v>93</v>
      </c>
      <c r="C130" s="1">
        <v>93</v>
      </c>
      <c r="D130" s="1">
        <v>93</v>
      </c>
      <c r="E130" s="1">
        <v>115</v>
      </c>
      <c r="F130" s="1">
        <v>93</v>
      </c>
      <c r="G130" s="1">
        <v>115</v>
      </c>
      <c r="H130" s="1">
        <v>165</v>
      </c>
      <c r="I130" s="358">
        <f t="shared" si="1"/>
        <v>88.35</v>
      </c>
      <c r="J130" s="331">
        <v>142</v>
      </c>
      <c r="K130" s="12">
        <v>16</v>
      </c>
      <c r="L130" s="1">
        <v>64</v>
      </c>
      <c r="M130" s="1">
        <v>64</v>
      </c>
      <c r="N130" s="1">
        <v>64</v>
      </c>
      <c r="O130" s="1">
        <v>75</v>
      </c>
      <c r="P130" s="1">
        <v>64</v>
      </c>
      <c r="Q130" s="1">
        <v>75</v>
      </c>
      <c r="R130" s="1">
        <v>103</v>
      </c>
      <c r="S130" s="359">
        <f t="shared" si="2"/>
        <v>60.8</v>
      </c>
      <c r="T130" s="331">
        <v>100</v>
      </c>
    </row>
    <row r="131" spans="1:20" s="4" customFormat="1" ht="12.75">
      <c r="A131" s="320">
        <v>17</v>
      </c>
      <c r="B131" s="1">
        <v>96</v>
      </c>
      <c r="C131" s="1">
        <v>96</v>
      </c>
      <c r="D131" s="1">
        <v>96</v>
      </c>
      <c r="E131" s="1">
        <v>120</v>
      </c>
      <c r="F131" s="1">
        <v>96</v>
      </c>
      <c r="G131" s="1">
        <v>120</v>
      </c>
      <c r="H131" s="1">
        <v>177</v>
      </c>
      <c r="I131" s="358">
        <f t="shared" si="1"/>
        <v>91.19999999999999</v>
      </c>
      <c r="J131" s="331">
        <v>148</v>
      </c>
      <c r="K131" s="12">
        <v>17</v>
      </c>
      <c r="L131" s="1">
        <v>66</v>
      </c>
      <c r="M131" s="1">
        <v>66</v>
      </c>
      <c r="N131" s="1">
        <v>66</v>
      </c>
      <c r="O131" s="1">
        <v>78</v>
      </c>
      <c r="P131" s="1">
        <v>66</v>
      </c>
      <c r="Q131" s="1">
        <v>78</v>
      </c>
      <c r="R131" s="1">
        <v>108</v>
      </c>
      <c r="S131" s="359">
        <f t="shared" si="2"/>
        <v>62.699999999999996</v>
      </c>
      <c r="T131" s="331">
        <v>106</v>
      </c>
    </row>
    <row r="132" spans="1:20" s="4" customFormat="1" ht="12.75">
      <c r="A132" s="320">
        <v>18</v>
      </c>
      <c r="B132" s="1">
        <v>100</v>
      </c>
      <c r="C132" s="1">
        <v>100</v>
      </c>
      <c r="D132" s="1">
        <v>100</v>
      </c>
      <c r="E132" s="1">
        <v>125</v>
      </c>
      <c r="F132" s="1">
        <v>100</v>
      </c>
      <c r="G132" s="1">
        <v>125</v>
      </c>
      <c r="H132" s="1">
        <v>190</v>
      </c>
      <c r="I132" s="358">
        <f>+B132*0.95</f>
        <v>95</v>
      </c>
      <c r="J132" s="331">
        <v>156</v>
      </c>
      <c r="K132" s="12">
        <v>18</v>
      </c>
      <c r="L132" s="1">
        <v>68</v>
      </c>
      <c r="M132" s="1">
        <v>68</v>
      </c>
      <c r="N132" s="1">
        <v>68</v>
      </c>
      <c r="O132" s="1">
        <v>82</v>
      </c>
      <c r="P132" s="1">
        <v>68</v>
      </c>
      <c r="Q132" s="1">
        <v>82</v>
      </c>
      <c r="R132" s="1">
        <v>114</v>
      </c>
      <c r="S132" s="359">
        <f>+L132*0.95</f>
        <v>64.6</v>
      </c>
      <c r="T132" s="331">
        <v>112</v>
      </c>
    </row>
    <row r="133" spans="1:20" s="4" customFormat="1" ht="12.75">
      <c r="A133" s="320">
        <v>19</v>
      </c>
      <c r="B133" s="1">
        <v>105</v>
      </c>
      <c r="C133" s="1">
        <v>105</v>
      </c>
      <c r="D133" s="1">
        <v>105</v>
      </c>
      <c r="E133" s="1">
        <v>130</v>
      </c>
      <c r="F133" s="1">
        <v>105</v>
      </c>
      <c r="G133" s="1">
        <v>130</v>
      </c>
      <c r="H133" s="1">
        <v>210</v>
      </c>
      <c r="I133" s="358">
        <f>+B133*0.95</f>
        <v>99.75</v>
      </c>
      <c r="J133" s="331">
        <v>167</v>
      </c>
      <c r="K133" s="12">
        <v>19</v>
      </c>
      <c r="L133" s="1">
        <v>70</v>
      </c>
      <c r="M133" s="1">
        <v>70</v>
      </c>
      <c r="N133" s="1">
        <v>70</v>
      </c>
      <c r="O133" s="1">
        <v>86</v>
      </c>
      <c r="P133" s="1">
        <v>70</v>
      </c>
      <c r="Q133" s="1">
        <v>86</v>
      </c>
      <c r="R133" s="1">
        <v>118</v>
      </c>
      <c r="S133" s="359">
        <f>+L133*0.95</f>
        <v>66.5</v>
      </c>
      <c r="T133" s="331">
        <v>118</v>
      </c>
    </row>
    <row r="134" spans="1:20" s="4" customFormat="1" ht="13.5" thickBot="1">
      <c r="A134" s="323">
        <v>99</v>
      </c>
      <c r="B134" s="332">
        <v>110</v>
      </c>
      <c r="C134" s="332">
        <v>110</v>
      </c>
      <c r="D134" s="332">
        <v>110</v>
      </c>
      <c r="E134" s="332">
        <v>135</v>
      </c>
      <c r="F134" s="332">
        <v>110</v>
      </c>
      <c r="G134" s="332">
        <v>135</v>
      </c>
      <c r="H134" s="332">
        <v>220</v>
      </c>
      <c r="I134" s="360">
        <f>+B134*0.95</f>
        <v>104.5</v>
      </c>
      <c r="J134" s="335">
        <v>180</v>
      </c>
      <c r="K134" s="361">
        <v>99</v>
      </c>
      <c r="L134" s="332">
        <v>72</v>
      </c>
      <c r="M134" s="332">
        <v>72</v>
      </c>
      <c r="N134" s="332">
        <v>72</v>
      </c>
      <c r="O134" s="332">
        <v>90</v>
      </c>
      <c r="P134" s="332">
        <v>72</v>
      </c>
      <c r="Q134" s="332">
        <v>90</v>
      </c>
      <c r="R134" s="332">
        <v>125</v>
      </c>
      <c r="S134" s="362">
        <f>+L134*0.95</f>
        <v>68.39999999999999</v>
      </c>
      <c r="T134" s="335">
        <v>125</v>
      </c>
    </row>
    <row r="136" spans="1:10" ht="12.75">
      <c r="A136" s="363" t="s">
        <v>320</v>
      </c>
      <c r="B136" s="4"/>
      <c r="C136" s="4"/>
      <c r="D136" s="4"/>
      <c r="E136" s="4"/>
      <c r="J136" s="364" t="s">
        <v>76</v>
      </c>
    </row>
    <row r="137" spans="1:10" ht="12.75">
      <c r="A137" s="7" t="s">
        <v>73</v>
      </c>
      <c r="B137" s="4" t="s">
        <v>239</v>
      </c>
      <c r="C137" s="4"/>
      <c r="D137" s="4"/>
      <c r="E137" s="4"/>
      <c r="H137" s="288"/>
      <c r="I137" s="306" t="s">
        <v>183</v>
      </c>
      <c r="J137" s="365" t="s">
        <v>77</v>
      </c>
    </row>
    <row r="138" spans="1:10" ht="12.75">
      <c r="A138" s="4" t="s">
        <v>159</v>
      </c>
      <c r="B138" s="4">
        <v>0.05</v>
      </c>
      <c r="C138" s="4"/>
      <c r="D138" s="4"/>
      <c r="E138" s="4"/>
      <c r="H138" s="288"/>
      <c r="J138" s="365" t="s">
        <v>78</v>
      </c>
    </row>
    <row r="139" spans="1:10" ht="12.75">
      <c r="A139" s="4" t="s">
        <v>157</v>
      </c>
      <c r="B139" s="4">
        <v>0.05</v>
      </c>
      <c r="C139" s="4"/>
      <c r="D139" s="4"/>
      <c r="E139" s="4"/>
      <c r="H139" s="288"/>
      <c r="J139" s="365" t="s">
        <v>79</v>
      </c>
    </row>
    <row r="140" spans="1:10" ht="12.75">
      <c r="A140" s="4" t="s">
        <v>158</v>
      </c>
      <c r="B140" s="4">
        <v>0.06</v>
      </c>
      <c r="C140" s="4"/>
      <c r="D140" s="4"/>
      <c r="E140" s="4"/>
      <c r="H140" s="288"/>
      <c r="J140" s="365" t="s">
        <v>80</v>
      </c>
    </row>
    <row r="141" spans="1:10" ht="12.75">
      <c r="A141" s="4" t="s">
        <v>152</v>
      </c>
      <c r="B141" s="4">
        <v>0.05</v>
      </c>
      <c r="C141" s="4"/>
      <c r="D141" s="4"/>
      <c r="E141" s="4"/>
      <c r="H141" s="288"/>
      <c r="J141" s="365" t="s">
        <v>81</v>
      </c>
    </row>
    <row r="142" spans="1:10" ht="12.75">
      <c r="A142" s="4" t="s">
        <v>153</v>
      </c>
      <c r="B142" s="4">
        <v>0.05</v>
      </c>
      <c r="C142" s="4"/>
      <c r="D142" s="4"/>
      <c r="E142" s="4"/>
      <c r="H142" s="288"/>
      <c r="J142" s="365" t="s">
        <v>82</v>
      </c>
    </row>
    <row r="143" spans="1:10" ht="12.75">
      <c r="A143" s="4" t="s">
        <v>199</v>
      </c>
      <c r="B143" s="4">
        <v>0.07</v>
      </c>
      <c r="C143" s="4"/>
      <c r="D143" s="4"/>
      <c r="E143" s="4"/>
      <c r="H143" s="288"/>
      <c r="J143" s="365" t="s">
        <v>83</v>
      </c>
    </row>
    <row r="144" spans="1:10" ht="12.75">
      <c r="A144" s="4" t="s">
        <v>154</v>
      </c>
      <c r="B144" s="4">
        <v>0.08</v>
      </c>
      <c r="C144" s="4"/>
      <c r="D144" s="4"/>
      <c r="E144" s="4"/>
      <c r="H144" s="288"/>
      <c r="J144" s="365" t="s">
        <v>84</v>
      </c>
    </row>
    <row r="145" spans="1:10" ht="12.75">
      <c r="A145" s="4" t="s">
        <v>155</v>
      </c>
      <c r="B145" s="4">
        <v>0.1</v>
      </c>
      <c r="C145" s="4"/>
      <c r="D145" s="4"/>
      <c r="E145" s="4"/>
      <c r="H145" s="288"/>
      <c r="J145" s="365" t="s">
        <v>85</v>
      </c>
    </row>
    <row r="146" spans="1:10" ht="12.75">
      <c r="A146" s="4" t="s">
        <v>156</v>
      </c>
      <c r="B146" s="4">
        <v>0.1</v>
      </c>
      <c r="C146" s="4"/>
      <c r="D146" s="4"/>
      <c r="E146" s="4"/>
      <c r="H146" s="288"/>
      <c r="I146" s="306" t="s">
        <v>184</v>
      </c>
      <c r="J146" s="365" t="s">
        <v>86</v>
      </c>
    </row>
    <row r="147" spans="2:10" ht="12.75">
      <c r="B147" s="4"/>
      <c r="C147" s="4"/>
      <c r="D147" s="4"/>
      <c r="E147" s="4"/>
      <c r="H147" s="288"/>
      <c r="J147" s="365" t="s">
        <v>87</v>
      </c>
    </row>
    <row r="148" spans="1:10" ht="12.75" customHeight="1">
      <c r="A148" s="363" t="s">
        <v>187</v>
      </c>
      <c r="B148" s="4"/>
      <c r="C148" s="4"/>
      <c r="D148" s="4"/>
      <c r="E148" s="4"/>
      <c r="H148" s="288"/>
      <c r="J148" s="365" t="s">
        <v>88</v>
      </c>
    </row>
    <row r="149" spans="1:10" ht="12.75">
      <c r="A149" s="7" t="s">
        <v>73</v>
      </c>
      <c r="B149" s="4" t="s">
        <v>89</v>
      </c>
      <c r="C149" s="4"/>
      <c r="D149" s="4"/>
      <c r="E149" s="4"/>
      <c r="H149" s="288"/>
      <c r="I149" s="306" t="s">
        <v>186</v>
      </c>
      <c r="J149" s="365" t="s">
        <v>90</v>
      </c>
    </row>
    <row r="150" spans="1:10" ht="12.75">
      <c r="A150" s="4" t="s">
        <v>159</v>
      </c>
      <c r="B150" s="4">
        <v>2.5</v>
      </c>
      <c r="C150" s="4"/>
      <c r="D150" s="4"/>
      <c r="E150" s="4"/>
      <c r="H150" s="288"/>
      <c r="J150" s="365" t="s">
        <v>91</v>
      </c>
    </row>
    <row r="151" spans="1:10" ht="12.75">
      <c r="A151" s="4" t="s">
        <v>157</v>
      </c>
      <c r="B151" s="4">
        <v>2.5</v>
      </c>
      <c r="C151" s="4"/>
      <c r="D151" s="4"/>
      <c r="E151" s="4"/>
      <c r="H151" s="288"/>
      <c r="J151" s="365" t="s">
        <v>92</v>
      </c>
    </row>
    <row r="152" spans="1:10" ht="12.75">
      <c r="A152" s="4" t="s">
        <v>158</v>
      </c>
      <c r="B152" s="4">
        <v>3</v>
      </c>
      <c r="C152" s="4"/>
      <c r="D152" s="4"/>
      <c r="E152" s="4"/>
      <c r="H152" s="288"/>
      <c r="J152" s="365" t="s">
        <v>93</v>
      </c>
    </row>
    <row r="153" spans="1:10" ht="12.75">
      <c r="A153" s="4" t="s">
        <v>152</v>
      </c>
      <c r="B153" s="4">
        <v>2.5</v>
      </c>
      <c r="C153" s="4"/>
      <c r="D153" s="4"/>
      <c r="E153" s="4"/>
      <c r="H153" s="288"/>
      <c r="I153" s="306" t="s">
        <v>185</v>
      </c>
      <c r="J153" s="365" t="s">
        <v>94</v>
      </c>
    </row>
    <row r="154" spans="1:10" ht="12.75">
      <c r="A154" s="4" t="s">
        <v>153</v>
      </c>
      <c r="B154" s="4">
        <v>2.5</v>
      </c>
      <c r="C154" s="4"/>
      <c r="D154" s="4"/>
      <c r="E154" s="4"/>
      <c r="H154" s="288"/>
      <c r="J154" s="365" t="s">
        <v>95</v>
      </c>
    </row>
    <row r="155" spans="1:10" ht="12.75">
      <c r="A155" s="4" t="s">
        <v>199</v>
      </c>
      <c r="B155" s="4">
        <v>2.75</v>
      </c>
      <c r="C155" s="4"/>
      <c r="D155" s="4"/>
      <c r="E155" s="4"/>
      <c r="H155" s="288"/>
      <c r="J155" s="365" t="s">
        <v>96</v>
      </c>
    </row>
    <row r="156" spans="1:10" ht="12.75">
      <c r="A156" s="4" t="s">
        <v>154</v>
      </c>
      <c r="B156" s="4">
        <v>3</v>
      </c>
      <c r="C156" s="4"/>
      <c r="D156" s="4"/>
      <c r="E156" s="4"/>
      <c r="H156" s="288"/>
      <c r="J156" s="365" t="s">
        <v>97</v>
      </c>
    </row>
    <row r="157" spans="1:10" ht="12.75">
      <c r="A157" s="4" t="s">
        <v>155</v>
      </c>
      <c r="B157" s="4">
        <v>3.5</v>
      </c>
      <c r="C157" s="4"/>
      <c r="D157" s="4"/>
      <c r="E157" s="4"/>
      <c r="H157" s="288"/>
      <c r="I157" s="306" t="s">
        <v>182</v>
      </c>
      <c r="J157" s="365" t="s">
        <v>98</v>
      </c>
    </row>
    <row r="158" spans="1:10" ht="12.75">
      <c r="A158" s="4" t="s">
        <v>156</v>
      </c>
      <c r="B158" s="4">
        <v>3.25</v>
      </c>
      <c r="C158" s="4"/>
      <c r="D158" s="4"/>
      <c r="E158" s="4"/>
      <c r="H158" s="288"/>
      <c r="J158" s="365" t="s">
        <v>99</v>
      </c>
    </row>
    <row r="159" spans="2:10" ht="12.75">
      <c r="B159" s="4"/>
      <c r="C159" s="4"/>
      <c r="D159" s="4"/>
      <c r="E159" s="4"/>
      <c r="H159" s="288"/>
      <c r="J159" s="365" t="s">
        <v>100</v>
      </c>
    </row>
    <row r="160" spans="1:10" ht="12.75">
      <c r="A160" s="293" t="s">
        <v>165</v>
      </c>
      <c r="B160" s="4"/>
      <c r="C160" s="4"/>
      <c r="D160" s="4"/>
      <c r="E160" s="4"/>
      <c r="H160" s="288"/>
      <c r="J160" s="365" t="s">
        <v>101</v>
      </c>
    </row>
    <row r="161" spans="1:10" ht="12.75">
      <c r="A161" s="7" t="s">
        <v>73</v>
      </c>
      <c r="B161" s="4" t="s">
        <v>102</v>
      </c>
      <c r="C161" s="4"/>
      <c r="D161" s="4"/>
      <c r="E161" s="4"/>
      <c r="H161" s="288"/>
      <c r="J161" s="365" t="s">
        <v>103</v>
      </c>
    </row>
    <row r="162" spans="1:10" ht="12.75">
      <c r="A162" s="4" t="s">
        <v>159</v>
      </c>
      <c r="B162" s="4">
        <v>2.75</v>
      </c>
      <c r="C162" s="4"/>
      <c r="D162" s="4"/>
      <c r="E162" s="4"/>
      <c r="H162" s="288"/>
      <c r="J162" s="365" t="s">
        <v>104</v>
      </c>
    </row>
    <row r="163" spans="1:10" ht="12.75">
      <c r="A163" s="4" t="s">
        <v>157</v>
      </c>
      <c r="B163" s="4">
        <v>3</v>
      </c>
      <c r="C163" s="4"/>
      <c r="D163" s="4"/>
      <c r="E163" s="4"/>
      <c r="H163" s="288"/>
      <c r="I163" s="306" t="s">
        <v>181</v>
      </c>
      <c r="J163" s="365" t="s">
        <v>105</v>
      </c>
    </row>
    <row r="164" spans="1:10" ht="12.75">
      <c r="A164" s="4" t="s">
        <v>158</v>
      </c>
      <c r="B164" s="4">
        <v>2.75</v>
      </c>
      <c r="C164" s="4"/>
      <c r="D164" s="4"/>
      <c r="E164" s="4"/>
      <c r="H164" s="288"/>
      <c r="J164" s="365" t="s">
        <v>106</v>
      </c>
    </row>
    <row r="165" spans="1:10" ht="12.75">
      <c r="A165" s="4" t="s">
        <v>152</v>
      </c>
      <c r="B165" s="4">
        <v>3</v>
      </c>
      <c r="C165" s="4"/>
      <c r="D165" s="4"/>
      <c r="E165" s="4"/>
      <c r="H165" s="288"/>
      <c r="I165" s="306" t="s">
        <v>180</v>
      </c>
      <c r="J165" s="365" t="s">
        <v>107</v>
      </c>
    </row>
    <row r="166" spans="1:10" ht="12.75">
      <c r="A166" s="4" t="s">
        <v>153</v>
      </c>
      <c r="B166" s="4">
        <v>2.75</v>
      </c>
      <c r="C166" s="4"/>
      <c r="D166" s="4"/>
      <c r="E166" s="4"/>
      <c r="H166" s="288"/>
      <c r="J166" s="365" t="s">
        <v>108</v>
      </c>
    </row>
    <row r="167" spans="1:10" ht="12.75">
      <c r="A167" s="4" t="s">
        <v>199</v>
      </c>
      <c r="B167" s="4">
        <v>3.25</v>
      </c>
      <c r="C167" s="4"/>
      <c r="D167" s="4"/>
      <c r="E167" s="4"/>
      <c r="H167" s="288"/>
      <c r="J167" s="365" t="s">
        <v>109</v>
      </c>
    </row>
    <row r="168" spans="1:10" ht="12.75">
      <c r="A168" s="4" t="s">
        <v>154</v>
      </c>
      <c r="B168" s="4">
        <v>3</v>
      </c>
      <c r="C168" s="4"/>
      <c r="D168" s="4"/>
      <c r="E168" s="4"/>
      <c r="H168" s="288"/>
      <c r="J168" s="365" t="s">
        <v>110</v>
      </c>
    </row>
    <row r="169" spans="1:10" ht="12.75">
      <c r="A169" s="4" t="s">
        <v>155</v>
      </c>
      <c r="B169" s="4">
        <v>3.5</v>
      </c>
      <c r="C169" s="4"/>
      <c r="D169" s="4"/>
      <c r="E169" s="4"/>
      <c r="H169" s="288"/>
      <c r="J169" s="365" t="s">
        <v>111</v>
      </c>
    </row>
    <row r="170" spans="1:10" ht="12.75">
      <c r="A170" s="4" t="s">
        <v>156</v>
      </c>
      <c r="B170" s="4">
        <v>3.25</v>
      </c>
      <c r="C170" s="4"/>
      <c r="D170" s="4"/>
      <c r="E170" s="4"/>
      <c r="H170" s="288"/>
      <c r="J170" s="365" t="s">
        <v>112</v>
      </c>
    </row>
    <row r="171" spans="2:10" ht="12.75">
      <c r="B171" s="4"/>
      <c r="C171" s="4"/>
      <c r="D171" s="4"/>
      <c r="E171" s="4"/>
      <c r="H171" s="288"/>
      <c r="I171" s="306" t="s">
        <v>179</v>
      </c>
      <c r="J171" s="365" t="s">
        <v>113</v>
      </c>
    </row>
    <row r="172" spans="1:10" ht="25.5">
      <c r="A172" s="292" t="s">
        <v>72</v>
      </c>
      <c r="B172" s="4"/>
      <c r="C172" s="4"/>
      <c r="D172" s="4"/>
      <c r="E172" s="4"/>
      <c r="H172" s="288"/>
      <c r="I172" s="306" t="s">
        <v>178</v>
      </c>
      <c r="J172" s="365" t="s">
        <v>114</v>
      </c>
    </row>
    <row r="173" spans="1:10" ht="12.75">
      <c r="A173" s="7" t="s">
        <v>73</v>
      </c>
      <c r="B173" s="4" t="s">
        <v>74</v>
      </c>
      <c r="C173" s="4"/>
      <c r="D173" s="4"/>
      <c r="E173" s="4"/>
      <c r="H173" s="288"/>
      <c r="J173" s="365" t="s">
        <v>115</v>
      </c>
    </row>
    <row r="174" spans="1:10" ht="12.75">
      <c r="A174" s="4" t="s">
        <v>159</v>
      </c>
      <c r="B174" s="4">
        <v>3</v>
      </c>
      <c r="C174" s="4"/>
      <c r="D174" s="4"/>
      <c r="E174" s="4"/>
      <c r="H174" s="288"/>
      <c r="J174" s="365" t="s">
        <v>116</v>
      </c>
    </row>
    <row r="175" spans="1:10" ht="12.75">
      <c r="A175" s="4" t="s">
        <v>157</v>
      </c>
      <c r="B175" s="4">
        <v>3</v>
      </c>
      <c r="C175" s="4"/>
      <c r="D175" s="4"/>
      <c r="E175" s="4"/>
      <c r="H175" s="288"/>
      <c r="J175" s="365" t="s">
        <v>117</v>
      </c>
    </row>
    <row r="176" spans="1:10" ht="12.75">
      <c r="A176" s="4" t="s">
        <v>158</v>
      </c>
      <c r="B176" s="4">
        <v>3</v>
      </c>
      <c r="C176" s="4"/>
      <c r="D176" s="4"/>
      <c r="E176" s="4"/>
      <c r="H176" s="288"/>
      <c r="J176" s="365" t="s">
        <v>118</v>
      </c>
    </row>
    <row r="177" spans="1:10" ht="12.75">
      <c r="A177" s="4" t="s">
        <v>152</v>
      </c>
      <c r="B177" s="4">
        <v>2</v>
      </c>
      <c r="C177" s="4"/>
      <c r="D177" s="4"/>
      <c r="E177" s="4"/>
      <c r="H177" s="288"/>
      <c r="J177" s="365" t="s">
        <v>119</v>
      </c>
    </row>
    <row r="178" spans="1:10" ht="12.75">
      <c r="A178" s="4" t="s">
        <v>153</v>
      </c>
      <c r="B178" s="4">
        <v>2</v>
      </c>
      <c r="C178" s="4"/>
      <c r="D178" s="4"/>
      <c r="E178" s="4"/>
      <c r="H178" s="288"/>
      <c r="J178" s="365" t="s">
        <v>120</v>
      </c>
    </row>
    <row r="179" spans="1:10" ht="12.75">
      <c r="A179" s="4" t="s">
        <v>199</v>
      </c>
      <c r="B179" s="4">
        <v>2</v>
      </c>
      <c r="C179" s="4"/>
      <c r="D179" s="4"/>
      <c r="E179" s="4"/>
      <c r="H179" s="288"/>
      <c r="J179" s="365" t="s">
        <v>121</v>
      </c>
    </row>
    <row r="180" spans="1:10" ht="12.75">
      <c r="A180" s="4" t="s">
        <v>154</v>
      </c>
      <c r="B180" s="4">
        <v>2</v>
      </c>
      <c r="C180" s="4"/>
      <c r="D180" s="4"/>
      <c r="E180" s="4"/>
      <c r="H180" s="288"/>
      <c r="J180" s="365" t="s">
        <v>122</v>
      </c>
    </row>
    <row r="181" spans="1:10" ht="12.75">
      <c r="A181" s="4" t="s">
        <v>155</v>
      </c>
      <c r="B181" s="4">
        <v>3</v>
      </c>
      <c r="C181" s="4"/>
      <c r="D181" s="4"/>
      <c r="E181" s="4"/>
      <c r="H181" s="288"/>
      <c r="I181" s="306" t="s">
        <v>170</v>
      </c>
      <c r="J181" s="365" t="s">
        <v>123</v>
      </c>
    </row>
    <row r="182" spans="1:10" ht="12.75">
      <c r="A182" s="4" t="s">
        <v>156</v>
      </c>
      <c r="B182" s="4">
        <v>2</v>
      </c>
      <c r="C182" s="4"/>
      <c r="D182" s="4"/>
      <c r="E182" s="4"/>
      <c r="H182" s="288"/>
      <c r="J182" s="365" t="s">
        <v>124</v>
      </c>
    </row>
    <row r="183" spans="2:10" ht="12.75" customHeight="1">
      <c r="B183" s="4"/>
      <c r="C183" s="4"/>
      <c r="D183" s="4"/>
      <c r="E183" s="4"/>
      <c r="H183" s="288"/>
      <c r="I183" s="306" t="s">
        <v>171</v>
      </c>
      <c r="J183" s="365" t="s">
        <v>125</v>
      </c>
    </row>
    <row r="184" spans="1:10" ht="12.75" customHeight="1">
      <c r="A184" s="292" t="s">
        <v>126</v>
      </c>
      <c r="B184" s="4"/>
      <c r="C184" s="4"/>
      <c r="D184" s="4"/>
      <c r="E184" s="4"/>
      <c r="H184" s="288"/>
      <c r="I184" s="306" t="s">
        <v>172</v>
      </c>
      <c r="J184" s="365" t="s">
        <v>127</v>
      </c>
    </row>
    <row r="185" spans="1:10" ht="12.75" customHeight="1">
      <c r="A185" s="7" t="s">
        <v>128</v>
      </c>
      <c r="B185" s="4" t="s">
        <v>129</v>
      </c>
      <c r="C185" s="4" t="s">
        <v>130</v>
      </c>
      <c r="D185" s="4" t="s">
        <v>131</v>
      </c>
      <c r="E185" s="4" t="s">
        <v>132</v>
      </c>
      <c r="H185" s="288"/>
      <c r="I185" s="306" t="s">
        <v>173</v>
      </c>
      <c r="J185" s="365" t="s">
        <v>133</v>
      </c>
    </row>
    <row r="186" spans="1:10" ht="12.75">
      <c r="A186" s="7" t="s">
        <v>287</v>
      </c>
      <c r="B186" s="366">
        <v>3</v>
      </c>
      <c r="C186" s="4">
        <v>4.5</v>
      </c>
      <c r="D186" s="4">
        <v>3.6</v>
      </c>
      <c r="E186" s="4">
        <v>-7</v>
      </c>
      <c r="H186" s="288"/>
      <c r="I186" s="306" t="s">
        <v>174</v>
      </c>
      <c r="J186" s="365" t="s">
        <v>134</v>
      </c>
    </row>
    <row r="187" spans="1:10" ht="12.75">
      <c r="A187" s="7" t="s">
        <v>284</v>
      </c>
      <c r="B187" s="4">
        <v>5.4</v>
      </c>
      <c r="C187" s="4">
        <v>5.4</v>
      </c>
      <c r="D187" s="4">
        <v>4.8</v>
      </c>
      <c r="E187" s="4">
        <v>-2</v>
      </c>
      <c r="H187" s="288"/>
      <c r="I187" s="306" t="s">
        <v>175</v>
      </c>
      <c r="J187" s="365" t="s">
        <v>135</v>
      </c>
    </row>
    <row r="188" spans="1:10" ht="12.75">
      <c r="A188" s="7" t="s">
        <v>283</v>
      </c>
      <c r="B188" s="4">
        <v>18</v>
      </c>
      <c r="C188" s="4">
        <v>24</v>
      </c>
      <c r="D188" s="4">
        <v>12.5</v>
      </c>
      <c r="E188" s="4">
        <v>-10</v>
      </c>
      <c r="H188" s="288"/>
      <c r="I188" s="306" t="s">
        <v>176</v>
      </c>
      <c r="J188" s="365" t="s">
        <v>136</v>
      </c>
    </row>
    <row r="189" spans="1:10" ht="12.75">
      <c r="A189" s="7" t="s">
        <v>285</v>
      </c>
      <c r="B189" s="4">
        <v>0.6</v>
      </c>
      <c r="C189" s="4">
        <v>0.9</v>
      </c>
      <c r="D189" s="4">
        <v>0.9</v>
      </c>
      <c r="E189" s="4">
        <v>-3</v>
      </c>
      <c r="H189" s="288"/>
      <c r="I189" s="306" t="s">
        <v>177</v>
      </c>
      <c r="J189" s="365" t="s">
        <v>137</v>
      </c>
    </row>
    <row r="190" spans="1:5" ht="12.75">
      <c r="A190" s="7" t="s">
        <v>138</v>
      </c>
      <c r="B190" s="4">
        <v>36</v>
      </c>
      <c r="C190" s="4">
        <v>48</v>
      </c>
      <c r="D190" s="4">
        <v>30</v>
      </c>
      <c r="E190" s="4">
        <v>-15</v>
      </c>
    </row>
    <row r="191" spans="1:5" ht="12.75">
      <c r="A191" s="7" t="s">
        <v>139</v>
      </c>
      <c r="B191" s="4">
        <v>9</v>
      </c>
      <c r="C191" s="4">
        <v>12</v>
      </c>
      <c r="D191" s="4">
        <v>9</v>
      </c>
      <c r="E191" s="4">
        <v>-4</v>
      </c>
    </row>
    <row r="192" spans="1:5" ht="12.75">
      <c r="A192" s="7" t="s">
        <v>286</v>
      </c>
      <c r="B192" s="4">
        <v>3.6</v>
      </c>
      <c r="C192" s="4">
        <v>3.6</v>
      </c>
      <c r="D192" s="4">
        <v>3</v>
      </c>
      <c r="E192" s="4">
        <v>-1</v>
      </c>
    </row>
    <row r="193" spans="2:5" ht="12.75">
      <c r="B193" s="4"/>
      <c r="C193" s="4"/>
      <c r="D193" s="4"/>
      <c r="E193" s="4"/>
    </row>
    <row r="194" spans="1:5" ht="12.75">
      <c r="A194" s="292" t="s">
        <v>217</v>
      </c>
      <c r="B194" s="4"/>
      <c r="C194" s="4"/>
      <c r="D194" s="4"/>
      <c r="E194" s="4"/>
    </row>
    <row r="195" spans="1:5" ht="12.75">
      <c r="A195" s="7" t="s">
        <v>11</v>
      </c>
      <c r="B195" s="4" t="s">
        <v>33</v>
      </c>
      <c r="C195" s="4"/>
      <c r="D195" s="4"/>
      <c r="E195" s="4"/>
    </row>
    <row r="196" spans="1:5" ht="12.75">
      <c r="A196" s="7">
        <v>0</v>
      </c>
      <c r="B196" s="367">
        <v>0</v>
      </c>
      <c r="C196" s="4"/>
      <c r="D196" s="4"/>
      <c r="E196" s="4"/>
    </row>
    <row r="197" spans="1:5" ht="12.75">
      <c r="A197" s="7">
        <v>11</v>
      </c>
      <c r="B197" s="367">
        <v>1</v>
      </c>
      <c r="C197" s="4"/>
      <c r="D197" s="4"/>
      <c r="E197" s="4"/>
    </row>
    <row r="198" spans="1:5" ht="12.75">
      <c r="A198" s="7">
        <v>14</v>
      </c>
      <c r="B198" s="367">
        <v>2</v>
      </c>
      <c r="C198" s="4"/>
      <c r="D198" s="4"/>
      <c r="E198" s="4"/>
    </row>
    <row r="199" spans="1:5" ht="12.75">
      <c r="A199" s="7">
        <v>16</v>
      </c>
      <c r="B199" s="367">
        <v>3</v>
      </c>
      <c r="C199" s="4"/>
      <c r="D199" s="4"/>
      <c r="E199" s="4"/>
    </row>
    <row r="200" spans="1:5" ht="12.75">
      <c r="A200" s="7">
        <v>18</v>
      </c>
      <c r="B200" s="367">
        <v>4</v>
      </c>
      <c r="C200" s="4"/>
      <c r="D200" s="4"/>
      <c r="E200" s="4"/>
    </row>
    <row r="201" spans="1:5" ht="12.75">
      <c r="A201" s="7">
        <v>19</v>
      </c>
      <c r="B201" s="367">
        <v>5</v>
      </c>
      <c r="C201" s="4"/>
      <c r="D201" s="4"/>
      <c r="E201" s="4"/>
    </row>
    <row r="202" spans="2:5" ht="12.75">
      <c r="B202" s="4"/>
      <c r="C202" s="4"/>
      <c r="D202" s="4"/>
      <c r="E202" s="4"/>
    </row>
    <row r="203" spans="1:5" ht="25.5">
      <c r="A203" s="292" t="s">
        <v>241</v>
      </c>
      <c r="B203" s="4"/>
      <c r="C203" s="4"/>
      <c r="D203" s="4"/>
      <c r="E203" s="4"/>
    </row>
    <row r="204" spans="1:5" ht="12.75">
      <c r="A204" s="7" t="s">
        <v>214</v>
      </c>
      <c r="B204" s="4" t="s">
        <v>243</v>
      </c>
      <c r="C204" s="4" t="s">
        <v>242</v>
      </c>
      <c r="D204" s="4" t="s">
        <v>140</v>
      </c>
      <c r="E204" s="4"/>
    </row>
    <row r="205" spans="1:5" ht="12.75">
      <c r="A205" s="7">
        <v>1</v>
      </c>
      <c r="B205" s="4">
        <v>2</v>
      </c>
      <c r="C205" s="4">
        <f>+B205*2</f>
        <v>4</v>
      </c>
      <c r="D205" s="6" t="s">
        <v>244</v>
      </c>
      <c r="E205" s="4"/>
    </row>
    <row r="206" spans="1:5" ht="12.75">
      <c r="A206" s="7">
        <v>2</v>
      </c>
      <c r="B206" s="4">
        <v>2</v>
      </c>
      <c r="C206" s="4">
        <f aca="true" t="shared" si="3" ref="C206:C219">+B206*2</f>
        <v>4</v>
      </c>
      <c r="D206" s="4"/>
      <c r="E206" s="4"/>
    </row>
    <row r="207" spans="1:5" ht="12.75">
      <c r="A207" s="7">
        <v>3</v>
      </c>
      <c r="B207" s="4">
        <v>3</v>
      </c>
      <c r="C207" s="4">
        <f t="shared" si="3"/>
        <v>6</v>
      </c>
      <c r="D207" s="4"/>
      <c r="E207" s="4"/>
    </row>
    <row r="208" spans="1:5" ht="12.75">
      <c r="A208" s="7">
        <v>4</v>
      </c>
      <c r="B208" s="4">
        <v>4</v>
      </c>
      <c r="C208" s="4">
        <f t="shared" si="3"/>
        <v>8</v>
      </c>
      <c r="D208" s="4"/>
      <c r="E208" s="4"/>
    </row>
    <row r="209" spans="1:5" ht="12.75">
      <c r="A209" s="7">
        <v>5</v>
      </c>
      <c r="B209" s="4">
        <v>5</v>
      </c>
      <c r="C209" s="4">
        <f t="shared" si="3"/>
        <v>10</v>
      </c>
      <c r="D209" s="4"/>
      <c r="E209" s="4"/>
    </row>
    <row r="210" spans="1:5" ht="12.75">
      <c r="A210" s="7">
        <v>6</v>
      </c>
      <c r="B210" s="4">
        <v>6</v>
      </c>
      <c r="C210" s="4">
        <f t="shared" si="3"/>
        <v>12</v>
      </c>
      <c r="D210" s="4"/>
      <c r="E210" s="4"/>
    </row>
    <row r="211" spans="1:5" ht="12.75">
      <c r="A211" s="7">
        <v>8</v>
      </c>
      <c r="B211" s="4">
        <v>7</v>
      </c>
      <c r="C211" s="4">
        <f t="shared" si="3"/>
        <v>14</v>
      </c>
      <c r="D211" s="4"/>
      <c r="E211" s="4"/>
    </row>
    <row r="212" spans="1:5" ht="12.75">
      <c r="A212" s="7">
        <v>10</v>
      </c>
      <c r="B212" s="4">
        <v>8</v>
      </c>
      <c r="C212" s="4">
        <f t="shared" si="3"/>
        <v>16</v>
      </c>
      <c r="D212" s="4"/>
      <c r="E212" s="4"/>
    </row>
    <row r="213" spans="1:5" ht="12.75">
      <c r="A213" s="7">
        <v>12</v>
      </c>
      <c r="B213" s="4">
        <v>9</v>
      </c>
      <c r="C213" s="4">
        <f t="shared" si="3"/>
        <v>18</v>
      </c>
      <c r="D213" s="4"/>
      <c r="E213" s="4"/>
    </row>
    <row r="214" spans="1:5" ht="12.75">
      <c r="A214" s="7">
        <v>14</v>
      </c>
      <c r="B214" s="4">
        <v>10</v>
      </c>
      <c r="C214" s="4">
        <f t="shared" si="3"/>
        <v>20</v>
      </c>
      <c r="D214" s="4"/>
      <c r="E214" s="4"/>
    </row>
    <row r="215" spans="1:5" ht="12.75">
      <c r="A215" s="7">
        <v>16</v>
      </c>
      <c r="B215" s="4">
        <v>11</v>
      </c>
      <c r="C215" s="4">
        <f t="shared" si="3"/>
        <v>22</v>
      </c>
      <c r="D215" s="4"/>
      <c r="E215" s="4"/>
    </row>
    <row r="216" spans="1:5" ht="12.75">
      <c r="A216" s="7">
        <v>17</v>
      </c>
      <c r="B216" s="4">
        <v>12</v>
      </c>
      <c r="C216" s="4">
        <f t="shared" si="3"/>
        <v>24</v>
      </c>
      <c r="D216" s="4"/>
      <c r="E216" s="4"/>
    </row>
    <row r="217" spans="1:5" ht="12.75">
      <c r="A217" s="7">
        <v>18</v>
      </c>
      <c r="B217" s="4">
        <v>13</v>
      </c>
      <c r="C217" s="4">
        <f t="shared" si="3"/>
        <v>26</v>
      </c>
      <c r="D217" s="4"/>
      <c r="E217" s="4"/>
    </row>
    <row r="218" spans="1:5" ht="12.75">
      <c r="A218" s="7">
        <v>19</v>
      </c>
      <c r="B218" s="4">
        <v>14</v>
      </c>
      <c r="C218" s="4">
        <f t="shared" si="3"/>
        <v>28</v>
      </c>
      <c r="D218" s="4"/>
      <c r="E218" s="4"/>
    </row>
    <row r="219" spans="1:5" ht="12.75">
      <c r="A219" s="7">
        <v>20</v>
      </c>
      <c r="B219" s="4">
        <v>15</v>
      </c>
      <c r="C219" s="4">
        <f t="shared" si="3"/>
        <v>30</v>
      </c>
      <c r="D219" s="4"/>
      <c r="E219" s="4"/>
    </row>
    <row r="222" spans="1:3" ht="13.5" thickBot="1">
      <c r="A222" s="363" t="s">
        <v>280</v>
      </c>
      <c r="B222" s="338"/>
      <c r="C222" s="338"/>
    </row>
    <row r="223" spans="1:4" ht="14.25" customHeight="1">
      <c r="A223" s="368" t="s">
        <v>212</v>
      </c>
      <c r="B223" s="352" t="s">
        <v>55</v>
      </c>
      <c r="C223" s="369" t="s">
        <v>281</v>
      </c>
      <c r="D223" s="354" t="s">
        <v>37</v>
      </c>
    </row>
    <row r="224" spans="1:4" ht="14.25" customHeight="1">
      <c r="A224" s="370" t="s">
        <v>19</v>
      </c>
      <c r="B224" s="1">
        <f>For+con+de+ag+int+com+cou</f>
        <v>88</v>
      </c>
      <c r="C224" s="1">
        <f aca="true" t="shared" si="4" ref="C224:C230">INT(B224/2)+(5*Service)</f>
        <v>44</v>
      </c>
      <c r="D224" s="331" t="s">
        <v>51</v>
      </c>
    </row>
    <row r="225" spans="1:4" ht="14.25" customHeight="1">
      <c r="A225" s="370" t="s">
        <v>18</v>
      </c>
      <c r="B225" s="1">
        <f>con+de+ag+int+ion+cou+com+gta</f>
        <v>97</v>
      </c>
      <c r="C225" s="1">
        <f t="shared" si="4"/>
        <v>48</v>
      </c>
      <c r="D225" s="331" t="s">
        <v>51</v>
      </c>
    </row>
    <row r="226" spans="1:6" ht="14.25" customHeight="1">
      <c r="A226" s="370" t="s">
        <v>168</v>
      </c>
      <c r="B226" s="1">
        <f>de+3*int+2*ion+E226</f>
        <v>80</v>
      </c>
      <c r="C226" s="1">
        <f t="shared" si="4"/>
        <v>40</v>
      </c>
      <c r="D226" s="331" t="s">
        <v>51</v>
      </c>
      <c r="E226" s="3">
        <f>MAX(gta,ma,ea)</f>
        <v>12</v>
      </c>
      <c r="F226" s="3" t="s">
        <v>219</v>
      </c>
    </row>
    <row r="227" spans="1:6" ht="14.25" customHeight="1">
      <c r="A227" s="370" t="s">
        <v>141</v>
      </c>
      <c r="B227" s="1">
        <f>de+(3*int)+2*ion+E227</f>
        <v>80</v>
      </c>
      <c r="C227" s="1">
        <f t="shared" si="4"/>
        <v>40</v>
      </c>
      <c r="D227" s="331" t="s">
        <v>51</v>
      </c>
      <c r="E227" s="3">
        <f>MAX(gta,ma,ea)</f>
        <v>12</v>
      </c>
      <c r="F227" s="3" t="s">
        <v>219</v>
      </c>
    </row>
    <row r="228" spans="1:6" ht="14.25" customHeight="1">
      <c r="A228" s="370" t="s">
        <v>23</v>
      </c>
      <c r="B228" s="1">
        <f>de+(3*int)+2*ion+E228</f>
        <v>80</v>
      </c>
      <c r="C228" s="1">
        <f t="shared" si="4"/>
        <v>40</v>
      </c>
      <c r="D228" s="331" t="s">
        <v>51</v>
      </c>
      <c r="E228" s="3">
        <f>MAX(gta,ma,ea)</f>
        <v>12</v>
      </c>
      <c r="F228" s="3" t="s">
        <v>219</v>
      </c>
    </row>
    <row r="229" spans="1:4" ht="14.25" customHeight="1">
      <c r="A229" s="370" t="s">
        <v>20</v>
      </c>
      <c r="B229" s="1">
        <f>de+int+ion+com+gta+ma+ea</f>
        <v>83</v>
      </c>
      <c r="C229" s="1">
        <f t="shared" si="4"/>
        <v>41</v>
      </c>
      <c r="D229" s="331" t="s">
        <v>51</v>
      </c>
    </row>
    <row r="230" spans="1:4" ht="26.25" thickBot="1">
      <c r="A230" s="371" t="s">
        <v>169</v>
      </c>
      <c r="B230" s="332">
        <f>de+2*(int+gta+ma+ea)</f>
        <v>108</v>
      </c>
      <c r="C230" s="332">
        <f t="shared" si="4"/>
        <v>54</v>
      </c>
      <c r="D230" s="335" t="s">
        <v>51</v>
      </c>
    </row>
    <row r="231" ht="13.5" thickBot="1">
      <c r="A231" s="363" t="s">
        <v>279</v>
      </c>
    </row>
    <row r="232" spans="1:3" ht="12.75">
      <c r="A232" s="372" t="s">
        <v>73</v>
      </c>
      <c r="B232" s="229" t="s">
        <v>19</v>
      </c>
      <c r="C232" s="230" t="s">
        <v>282</v>
      </c>
    </row>
    <row r="233" spans="1:3" ht="12.75">
      <c r="A233" s="347" t="s">
        <v>159</v>
      </c>
      <c r="B233" s="373">
        <v>0.8</v>
      </c>
      <c r="C233" s="374">
        <v>0.7</v>
      </c>
    </row>
    <row r="234" spans="1:3" ht="12.75">
      <c r="A234" s="347" t="s">
        <v>157</v>
      </c>
      <c r="B234" s="373">
        <v>0.9</v>
      </c>
      <c r="C234" s="374">
        <v>0.8</v>
      </c>
    </row>
    <row r="235" spans="1:3" ht="12.75">
      <c r="A235" s="347" t="s">
        <v>158</v>
      </c>
      <c r="B235" s="373">
        <v>1.5</v>
      </c>
      <c r="C235" s="374">
        <v>1.25</v>
      </c>
    </row>
    <row r="236" spans="1:3" ht="12.75">
      <c r="A236" s="347" t="s">
        <v>152</v>
      </c>
      <c r="B236" s="373">
        <v>1.1</v>
      </c>
      <c r="C236" s="374">
        <v>0.8</v>
      </c>
    </row>
    <row r="237" spans="1:3" ht="12.75">
      <c r="A237" s="347" t="s">
        <v>153</v>
      </c>
      <c r="B237" s="373">
        <v>1</v>
      </c>
      <c r="C237" s="374">
        <v>0.8</v>
      </c>
    </row>
    <row r="238" spans="1:3" ht="12.75">
      <c r="A238" s="347" t="s">
        <v>199</v>
      </c>
      <c r="B238" s="373">
        <v>1.5</v>
      </c>
      <c r="C238" s="374">
        <v>1</v>
      </c>
    </row>
    <row r="239" spans="1:3" ht="12.75">
      <c r="A239" s="347" t="s">
        <v>154</v>
      </c>
      <c r="B239" s="373">
        <v>1.5</v>
      </c>
      <c r="C239" s="374">
        <v>1</v>
      </c>
    </row>
    <row r="240" spans="1:3" ht="12.75">
      <c r="A240" s="347" t="s">
        <v>155</v>
      </c>
      <c r="B240" s="373">
        <v>1.75</v>
      </c>
      <c r="C240" s="374">
        <v>1.5</v>
      </c>
    </row>
    <row r="241" spans="1:3" ht="13.5" thickBot="1">
      <c r="A241" s="350" t="s">
        <v>156</v>
      </c>
      <c r="B241" s="375">
        <v>2</v>
      </c>
      <c r="C241" s="376">
        <v>1.5</v>
      </c>
    </row>
  </sheetData>
  <sheetProtection password="F5B3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 </cp:lastModifiedBy>
  <cp:lastPrinted>2003-04-04T13:01:39Z</cp:lastPrinted>
  <dcterms:created xsi:type="dcterms:W3CDTF">2003-04-01T12:06:38Z</dcterms:created>
  <dcterms:modified xsi:type="dcterms:W3CDTF">2004-06-20T10:42:10Z</dcterms:modified>
  <cp:category/>
  <cp:version/>
  <cp:contentType/>
  <cp:contentStatus/>
</cp:coreProperties>
</file>